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coh25780\Downloads\"/>
    </mc:Choice>
  </mc:AlternateContent>
  <xr:revisionPtr revIDLastSave="0" documentId="13_ncr:1_{9AE3C7E7-BAA0-41C3-9FE0-2EB87A4EB40A}" xr6:coauthVersionLast="47" xr6:coauthVersionMax="47" xr10:uidLastSave="{00000000-0000-0000-0000-000000000000}"/>
  <bookViews>
    <workbookView xWindow="-28920" yWindow="7005" windowWidth="29040" windowHeight="15720" xr2:uid="{10042FD9-B6A6-4239-8C8C-71A1703242BB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F23" i="1"/>
  <c r="E23" i="1"/>
  <c r="C23" i="1"/>
  <c r="B23" i="1"/>
  <c r="C26" i="1"/>
  <c r="B26" i="1"/>
  <c r="B24" i="1"/>
  <c r="H16" i="1"/>
  <c r="H15" i="1"/>
  <c r="M9" i="1"/>
  <c r="M7" i="1"/>
  <c r="M10" i="1" s="1"/>
  <c r="P6" i="1" s="1"/>
  <c r="G18" i="1"/>
  <c r="F18" i="1"/>
  <c r="E18" i="1"/>
  <c r="D18" i="1"/>
  <c r="C18" i="1"/>
  <c r="B18" i="1"/>
  <c r="J13" i="1" a="1"/>
  <c r="J13" i="1" s="1"/>
  <c r="K13" i="1" s="1"/>
  <c r="G17" i="1"/>
  <c r="F17" i="1"/>
  <c r="H13" i="1" s="1"/>
  <c r="E17" i="1"/>
  <c r="D17" i="1"/>
  <c r="D23" i="1" s="1"/>
  <c r="C17" i="1"/>
  <c r="B17" i="1"/>
  <c r="I16" i="1"/>
  <c r="I15" i="1"/>
  <c r="I14" i="1"/>
  <c r="I13" i="1"/>
  <c r="G20" i="1"/>
  <c r="G26" i="1" s="1"/>
  <c r="F20" i="1"/>
  <c r="E20" i="1"/>
  <c r="E26" i="1" s="1"/>
  <c r="D20" i="1"/>
  <c r="B20" i="1"/>
  <c r="G19" i="1"/>
  <c r="F19" i="1"/>
  <c r="F26" i="1" s="1"/>
  <c r="E19" i="1"/>
  <c r="D19" i="1"/>
  <c r="B19" i="1"/>
  <c r="C20" i="1"/>
  <c r="C19" i="1"/>
  <c r="B27" i="1"/>
  <c r="C27" i="1"/>
  <c r="D27" i="1"/>
  <c r="F27" i="1"/>
  <c r="G27" i="1"/>
  <c r="D26" i="1" l="1"/>
  <c r="H14" i="1"/>
  <c r="H18" i="1" s="1"/>
  <c r="B9" i="1"/>
  <c r="N6" i="1"/>
  <c r="O6" i="1"/>
  <c r="O18" i="1"/>
  <c r="K14" i="1"/>
  <c r="K15" i="1"/>
  <c r="K16" i="1"/>
  <c r="H19" i="1"/>
  <c r="H20" i="1"/>
  <c r="D24" i="1"/>
  <c r="D34" i="1" s="1"/>
  <c r="B36" i="1"/>
  <c r="B22" i="1"/>
  <c r="B35" i="1" s="1"/>
  <c r="G24" i="1"/>
  <c r="G34" i="1" s="1"/>
  <c r="E36" i="1"/>
  <c r="C24" i="1"/>
  <c r="C34" i="1" s="1"/>
  <c r="F22" i="1"/>
  <c r="F35" i="1" s="1"/>
  <c r="E24" i="1"/>
  <c r="F24" i="1"/>
  <c r="F34" i="1" s="1"/>
  <c r="H17" i="1"/>
  <c r="C22" i="1"/>
  <c r="C35" i="1" s="1"/>
  <c r="E22" i="1"/>
  <c r="E35" i="1" s="1"/>
  <c r="B34" i="1"/>
  <c r="G22" i="1"/>
  <c r="G35" i="1" s="1"/>
  <c r="D22" i="1"/>
  <c r="D35" i="1" s="1"/>
  <c r="G36" i="1"/>
  <c r="F36" i="1"/>
  <c r="D36" i="1"/>
  <c r="C36" i="1"/>
  <c r="H23" i="1" l="1"/>
  <c r="H36" i="1" s="1"/>
  <c r="H26" i="1"/>
  <c r="L13" i="1" a="1"/>
  <c r="H24" i="1"/>
  <c r="H34" i="1" s="1"/>
  <c r="H22" i="1"/>
  <c r="H35" i="1" s="1"/>
  <c r="L13" i="1" l="1"/>
  <c r="M13" i="1" s="1"/>
  <c r="R13" i="1" s="1"/>
  <c r="M16" i="1"/>
  <c r="R16" i="1" s="1"/>
  <c r="M15" i="1"/>
  <c r="R15" i="1" s="1"/>
  <c r="M14" i="1"/>
  <c r="R14" i="1" s="1"/>
  <c r="N15" i="1"/>
  <c r="N16" i="1"/>
  <c r="N14" i="1" l="1"/>
  <c r="S14" i="1" s="1"/>
  <c r="S16" i="1"/>
  <c r="Q16" i="1"/>
  <c r="Q15" i="1"/>
  <c r="S15" i="1"/>
  <c r="R17" i="1" a="1"/>
  <c r="R17" i="1" s="1"/>
  <c r="O15" i="1"/>
  <c r="T15" i="1" s="1"/>
  <c r="O16" i="1" l="1"/>
  <c r="T16" i="1" s="1"/>
  <c r="O14" i="1"/>
  <c r="T14" i="1" s="1"/>
  <c r="Q14" i="1"/>
  <c r="Q17" i="1" s="1" a="1"/>
  <c r="Q17" i="1" s="1"/>
  <c r="R18" i="1" s="1"/>
  <c r="T18" i="1" l="1" a="1"/>
  <c r="T18" i="1" s="1"/>
  <c r="N18" i="1" s="1"/>
  <c r="P18" i="1" s="1"/>
  <c r="A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<sst xmlns="http://schemas.openxmlformats.org/spreadsheetml/2006/main" count="96" uniqueCount="79">
  <si>
    <t>PFAS Initial Monitoring Evaluation Tool (For monitoring done before 4/26/2027)</t>
  </si>
  <si>
    <r>
      <t xml:space="preserve">Instructions: Fill in </t>
    </r>
    <r>
      <rPr>
        <b/>
        <sz val="12"/>
        <color theme="3" tint="0.249977111117893"/>
        <rFont val="Aptos Narrow"/>
        <family val="2"/>
        <scheme val="minor"/>
      </rPr>
      <t>Blue</t>
    </r>
    <r>
      <rPr>
        <b/>
        <sz val="12"/>
        <color theme="1"/>
        <rFont val="Aptos Narrow"/>
        <family val="2"/>
        <scheme val="minor"/>
      </rPr>
      <t xml:space="preserve"> Fields</t>
    </r>
  </si>
  <si>
    <t>PWSID:</t>
  </si>
  <si>
    <t>4 quarterly samples collected 2 to 4 months apart.</t>
  </si>
  <si>
    <t>Waterworks Name:</t>
  </si>
  <si>
    <t>Ankh-Morpork</t>
  </si>
  <si>
    <t>2 samples collected 5 to 7 months apart.</t>
  </si>
  <si>
    <t>low</t>
  </si>
  <si>
    <t>high</t>
  </si>
  <si>
    <t>numsmp</t>
  </si>
  <si>
    <t>Waterworks population served:</t>
  </si>
  <si>
    <t>Facility Sampled:</t>
  </si>
  <si>
    <t>A-M WTF Entry Point</t>
  </si>
  <si>
    <t>Initial Monitoring Requirement:</t>
  </si>
  <si>
    <t>Your results (ng/L-ppt)</t>
  </si>
  <si>
    <t xml:space="preserve"> (if not detected, enter ND, or &lt;Detection Limit, or 0)</t>
  </si>
  <si>
    <t>months ck</t>
  </si>
  <si>
    <t>qtrck</t>
  </si>
  <si>
    <t>m</t>
  </si>
  <si>
    <t>Sample Date</t>
  </si>
  <si>
    <t>PFOA</t>
  </si>
  <si>
    <t>PFOS</t>
  </si>
  <si>
    <t>PFNA</t>
  </si>
  <si>
    <t>PFBS</t>
  </si>
  <si>
    <t>PFHxS</t>
  </si>
  <si>
    <t>HFPO-DA</t>
  </si>
  <si>
    <t>Hazard Index*</t>
  </si>
  <si>
    <t>DtSrt</t>
  </si>
  <si>
    <t>Month</t>
  </si>
  <si>
    <t>Monthsrt</t>
  </si>
  <si>
    <t>qtr</t>
  </si>
  <si>
    <t xml:space="preserve">Months since previous sample </t>
  </si>
  <si>
    <t>m bool</t>
  </si>
  <si>
    <t>q bool</t>
  </si>
  <si>
    <t>bool</t>
  </si>
  <si>
    <t>ND</t>
  </si>
  <si>
    <t>&lt;2</t>
  </si>
  <si>
    <t>timing</t>
  </si>
  <si>
    <t>results</t>
  </si>
  <si>
    <t>finished init check?</t>
  </si>
  <si>
    <t>mcl blown?</t>
  </si>
  <si>
    <t>trigger level blown?</t>
  </si>
  <si>
    <t>comp avg</t>
  </si>
  <si>
    <t>PMCL (ng/L-ppt)</t>
  </si>
  <si>
    <t>-</t>
  </si>
  <si>
    <t>Trigger Level (ng/L-ppt)</t>
  </si>
  <si>
    <t>Health Based Water Concentration (HBWC) (ng/L-ppt)</t>
  </si>
  <si>
    <r>
      <rPr>
        <b/>
        <sz val="12"/>
        <color theme="1"/>
        <rFont val="Aptos Narrow"/>
        <family val="2"/>
        <scheme val="minor"/>
      </rPr>
      <t>*Hazard Index</t>
    </r>
    <r>
      <rPr>
        <sz val="12"/>
        <color theme="1"/>
        <rFont val="Aptos Narrow"/>
        <family val="2"/>
        <scheme val="minor"/>
      </rPr>
      <t xml:space="preserve"> is a dimensionless calculated value representing the aggregate health risk presented by PFNA, PFBS, PFHxS, and HPFO-DA, based on the HBWC factors above. </t>
    </r>
  </si>
  <si>
    <t>lang</t>
  </si>
  <si>
    <t>viol</t>
  </si>
  <si>
    <t>You could be out of compliance starting 2029.  Contact your ODW Field Office to discuss options for remediation, including treatment or replacement of the affected source.</t>
  </si>
  <si>
    <t>PFAS Result Compliance Punchline</t>
  </si>
  <si>
    <t>Hazard Index</t>
  </si>
  <si>
    <t>mcl</t>
  </si>
  <si>
    <t xml:space="preserve">  Because you exceed a PMCL, you should contact your ODW Field Office to discuss these results.</t>
  </si>
  <si>
    <t>Possible MCL Violation starting 2029?</t>
  </si>
  <si>
    <t>N</t>
  </si>
  <si>
    <t>tl</t>
  </si>
  <si>
    <t>Any Result Exceeds MCL?</t>
  </si>
  <si>
    <t>initdone</t>
  </si>
  <si>
    <t xml:space="preserve">  You have completed your initial monitoring. Thank you!</t>
  </si>
  <si>
    <t>initnotdone</t>
  </si>
  <si>
    <t xml:space="preserve">  You must complete initial monitoring.</t>
  </si>
  <si>
    <t>Surface Water</t>
  </si>
  <si>
    <t>Entry Point Source Water Type</t>
  </si>
  <si>
    <t>Surface and Ground Water</t>
  </si>
  <si>
    <t>Ground Water</t>
  </si>
  <si>
    <t>&gt;10k</t>
  </si>
  <si>
    <t>B8</t>
  </si>
  <si>
    <t>choices</t>
  </si>
  <si>
    <t>freq text</t>
  </si>
  <si>
    <t>freq logic vals</t>
  </si>
  <si>
    <t>SW T/F</t>
  </si>
  <si>
    <t>semiann</t>
  </si>
  <si>
    <t>qtly or semiann?</t>
  </si>
  <si>
    <t>smp fin</t>
  </si>
  <si>
    <t>Average of your results</t>
  </si>
  <si>
    <t>Any Result At or Above Trigger Level?</t>
  </si>
  <si>
    <t xml:space="preserve">  Results at or above a trigger level may increase monitoring frequency once routine monitoring begins 2027.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</si>
</sst>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theme="3" tint="0.249977111117893"/>
      <name val="Aptos Narrow"/>
      <family val="2"/>
      <scheme val="minor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4996185186315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14" fontId="1" fillId="3" borderId="8" xfId="0" applyNumberFormat="1" applyFont="1" applyFill="1" applyBorder="1" applyAlignment="1" applyProtection="1">
      <alignment horizontal="center" wrapText="1"/>
      <protection locked="0"/>
    </xf>
    <xf numFmtId="0" fontId="1" fillId="3" borderId="8" xfId="0" applyFont="1" applyFill="1" applyBorder="1" applyAlignment="1" applyProtection="1">
      <alignment horizontal="center"/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0" borderId="8" xfId="0" applyFont="1" applyBorder="1" applyAlignment="1">
      <alignment horizontal="center" wrapText="1"/>
    </xf>
    <xf numFmtId="14" fontId="2" fillId="0" borderId="0" xfId="0" applyNumberFormat="1" applyFont="1"/>
    <xf numFmtId="2" fontId="2" fillId="0" borderId="0" xfId="0" applyNumberFormat="1" applyFont="1" applyAlignment="1">
      <alignment wrapText="1"/>
    </xf>
    <xf numFmtId="14" fontId="1" fillId="0" borderId="0" xfId="0" applyNumberFormat="1" applyFont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2" fillId="0" borderId="6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wrapText="1"/>
    </xf>
    <xf numFmtId="164" fontId="2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2" fillId="0" borderId="0" xfId="0" applyNumberFormat="1" applyFont="1"/>
    <xf numFmtId="0" fontId="1" fillId="0" borderId="8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8" borderId="0" xfId="0" applyFont="1" applyFill="1"/>
    <xf numFmtId="0" fontId="2" fillId="9" borderId="0" xfId="0" applyFont="1" applyFill="1"/>
    <xf numFmtId="0" fontId="2" fillId="11" borderId="0" xfId="0" applyFont="1" applyFill="1" applyAlignment="1">
      <alignment wrapText="1"/>
    </xf>
    <xf numFmtId="0" fontId="2" fillId="11" borderId="0" xfId="0" applyFont="1" applyFill="1"/>
    <xf numFmtId="0" fontId="2" fillId="10" borderId="0" xfId="0" applyFont="1" applyFill="1"/>
    <xf numFmtId="0" fontId="1" fillId="10" borderId="0" xfId="0" applyFont="1" applyFill="1"/>
    <xf numFmtId="0" fontId="2" fillId="12" borderId="0" xfId="0" applyFont="1" applyFill="1"/>
    <xf numFmtId="0" fontId="1" fillId="12" borderId="0" xfId="0" applyFont="1" applyFill="1"/>
    <xf numFmtId="0" fontId="1" fillId="11" borderId="0" xfId="0" applyFont="1" applyFill="1"/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C77DA-6EB7-4331-BAA4-131E3BBE9823}">
  <dimension ref="A1:U38"/>
  <sheetViews>
    <sheetView tabSelected="1" zoomScale="85" zoomScaleNormal="85" workbookViewId="0">
      <selection activeCell="B8" sqref="B8:F8"/>
    </sheetView>
  </sheetViews>
  <sheetFormatPr defaultColWidth="9" defaultRowHeight="15.7" x14ac:dyDescent="0.55000000000000004"/>
  <cols>
    <col min="1" max="1" width="28" style="3" customWidth="1"/>
    <col min="2" max="8" width="9.703125" style="3" customWidth="1"/>
    <col min="9" max="9" width="9.703125" style="3" hidden="1" customWidth="1"/>
    <col min="10" max="11" width="9.87890625" style="3" hidden="1" customWidth="1"/>
    <col min="12" max="13" width="23" style="3" hidden="1" customWidth="1"/>
    <col min="14" max="20" width="9" style="3" hidden="1" customWidth="1"/>
    <col min="21" max="16384" width="9" style="3"/>
  </cols>
  <sheetData>
    <row r="1" spans="1:20" ht="15.75" customHeight="1" x14ac:dyDescent="0.55000000000000004">
      <c r="A1" s="50" t="s">
        <v>0</v>
      </c>
      <c r="B1" s="50"/>
      <c r="C1" s="50"/>
      <c r="D1" s="50"/>
      <c r="E1" s="50"/>
      <c r="F1" s="50"/>
      <c r="G1" s="50"/>
      <c r="H1" s="50"/>
    </row>
    <row r="2" spans="1:20" x14ac:dyDescent="0.55000000000000004">
      <c r="A2" s="51" t="s">
        <v>1</v>
      </c>
      <c r="B2" s="51"/>
      <c r="C2" s="51"/>
      <c r="D2" s="51"/>
      <c r="E2" s="51"/>
      <c r="F2" s="51"/>
      <c r="G2" s="51"/>
      <c r="H2" s="51"/>
    </row>
    <row r="3" spans="1:20" x14ac:dyDescent="0.55000000000000004">
      <c r="K3" s="34" t="s">
        <v>70</v>
      </c>
    </row>
    <row r="4" spans="1:20" x14ac:dyDescent="0.55000000000000004">
      <c r="A4" s="4" t="s">
        <v>2</v>
      </c>
      <c r="B4" s="47">
        <v>6000000</v>
      </c>
      <c r="C4" s="48"/>
      <c r="D4" s="48"/>
      <c r="E4" s="48"/>
      <c r="F4" s="49"/>
      <c r="K4" s="34" t="s">
        <v>3</v>
      </c>
      <c r="N4" s="35" t="s">
        <v>71</v>
      </c>
      <c r="O4" s="35"/>
      <c r="P4" s="35"/>
    </row>
    <row r="5" spans="1:20" x14ac:dyDescent="0.55000000000000004">
      <c r="A5" s="4" t="s">
        <v>4</v>
      </c>
      <c r="B5" s="47" t="s">
        <v>5</v>
      </c>
      <c r="C5" s="48"/>
      <c r="D5" s="48"/>
      <c r="E5" s="48"/>
      <c r="F5" s="49"/>
      <c r="K5" s="34" t="s">
        <v>6</v>
      </c>
      <c r="N5" s="35" t="s">
        <v>7</v>
      </c>
      <c r="O5" s="35" t="s">
        <v>8</v>
      </c>
      <c r="P5" s="35" t="s">
        <v>9</v>
      </c>
    </row>
    <row r="6" spans="1:20" x14ac:dyDescent="0.55000000000000004">
      <c r="A6" s="4" t="s">
        <v>10</v>
      </c>
      <c r="B6" s="47">
        <v>99</v>
      </c>
      <c r="C6" s="48"/>
      <c r="D6" s="48"/>
      <c r="E6" s="48"/>
      <c r="F6" s="49"/>
      <c r="M6" s="30" t="s">
        <v>72</v>
      </c>
      <c r="N6" s="35">
        <f>IF(M10,2,5)</f>
        <v>5</v>
      </c>
      <c r="O6" s="35">
        <f>IF(M10,4,7)</f>
        <v>7</v>
      </c>
      <c r="P6" s="35">
        <f>IF(M10,4,2)</f>
        <v>2</v>
      </c>
    </row>
    <row r="7" spans="1:20" x14ac:dyDescent="0.55000000000000004">
      <c r="A7" s="4" t="s">
        <v>11</v>
      </c>
      <c r="B7" s="47" t="s">
        <v>12</v>
      </c>
      <c r="C7" s="52"/>
      <c r="D7" s="52"/>
      <c r="E7" s="52"/>
      <c r="F7" s="53"/>
      <c r="J7" s="33" t="s">
        <v>68</v>
      </c>
      <c r="K7" s="33" t="s">
        <v>63</v>
      </c>
      <c r="M7" s="30" t="b">
        <f>IF(IFERROR(SEARCH("Surface",B8),FALSE)=1,TRUE,FALSE)</f>
        <v>0</v>
      </c>
    </row>
    <row r="8" spans="1:20" x14ac:dyDescent="0.55000000000000004">
      <c r="A8" s="4" t="s">
        <v>64</v>
      </c>
      <c r="B8" s="47" t="s">
        <v>66</v>
      </c>
      <c r="C8" s="48"/>
      <c r="D8" s="48"/>
      <c r="E8" s="48"/>
      <c r="F8" s="49"/>
      <c r="J8" s="33" t="s">
        <v>69</v>
      </c>
      <c r="K8" s="33" t="s">
        <v>66</v>
      </c>
      <c r="M8" s="31" t="s">
        <v>67</v>
      </c>
    </row>
    <row r="9" spans="1:20" x14ac:dyDescent="0.55000000000000004">
      <c r="A9" s="3" t="s">
        <v>13</v>
      </c>
      <c r="B9" s="46" t="str">
        <f>IF(OR(ISBLANK(B6),ISBLANK(B8)),"",IF(M10,K4,K5))</f>
        <v>2 samples collected 5 to 7 months apart.</v>
      </c>
      <c r="C9" s="46"/>
      <c r="D9" s="46"/>
      <c r="E9" s="46"/>
      <c r="F9" s="46"/>
      <c r="J9" s="33"/>
      <c r="K9" s="33" t="s">
        <v>65</v>
      </c>
      <c r="M9" s="31" t="b">
        <f>IF(B6&gt;10000,TRUE,FALSE)</f>
        <v>0</v>
      </c>
    </row>
    <row r="10" spans="1:20" x14ac:dyDescent="0.55000000000000004">
      <c r="L10" s="32" t="s">
        <v>74</v>
      </c>
      <c r="M10" s="32" t="b">
        <f>OR(M7,M9)</f>
        <v>0</v>
      </c>
      <c r="Q10" s="38" t="s">
        <v>30</v>
      </c>
      <c r="R10" s="38"/>
      <c r="S10" s="40" t="s">
        <v>73</v>
      </c>
      <c r="T10" s="40"/>
    </row>
    <row r="11" spans="1:20" ht="16" thickBot="1" x14ac:dyDescent="0.6">
      <c r="A11" s="5" t="s">
        <v>14</v>
      </c>
      <c r="B11" s="6" t="s">
        <v>15</v>
      </c>
      <c r="Q11" s="38" t="s">
        <v>16</v>
      </c>
      <c r="R11" s="38" t="s">
        <v>17</v>
      </c>
      <c r="S11" s="40" t="s">
        <v>18</v>
      </c>
      <c r="T11" s="40" t="s">
        <v>18</v>
      </c>
    </row>
    <row r="12" spans="1:20" ht="32" thickTop="1" thickBot="1" x14ac:dyDescent="0.6">
      <c r="A12" s="7" t="s">
        <v>19</v>
      </c>
      <c r="B12" s="7" t="s">
        <v>20</v>
      </c>
      <c r="C12" s="7" t="s">
        <v>21</v>
      </c>
      <c r="D12" s="7" t="s">
        <v>22</v>
      </c>
      <c r="E12" s="7" t="s">
        <v>23</v>
      </c>
      <c r="F12" s="7" t="s">
        <v>24</v>
      </c>
      <c r="G12" s="7" t="s">
        <v>25</v>
      </c>
      <c r="H12" s="7" t="s">
        <v>26</v>
      </c>
      <c r="I12" s="5" t="s">
        <v>75</v>
      </c>
      <c r="J12" s="5" t="s">
        <v>27</v>
      </c>
      <c r="K12" s="4" t="s">
        <v>28</v>
      </c>
      <c r="L12" s="3" t="s">
        <v>29</v>
      </c>
      <c r="M12" s="4" t="s">
        <v>30</v>
      </c>
      <c r="N12" s="3" t="s">
        <v>31</v>
      </c>
      <c r="Q12" s="38" t="s">
        <v>32</v>
      </c>
      <c r="R12" s="38" t="s">
        <v>33</v>
      </c>
      <c r="S12" s="40" t="s">
        <v>34</v>
      </c>
      <c r="T12" s="40" t="s">
        <v>34</v>
      </c>
    </row>
    <row r="13" spans="1:20" ht="16.350000000000001" thickTop="1" thickBot="1" x14ac:dyDescent="0.6">
      <c r="A13" s="1">
        <v>44927</v>
      </c>
      <c r="B13" s="2" t="s">
        <v>35</v>
      </c>
      <c r="C13" s="2">
        <v>22</v>
      </c>
      <c r="D13" s="2">
        <v>2</v>
      </c>
      <c r="E13" s="2">
        <v>4</v>
      </c>
      <c r="F13" s="2">
        <v>0</v>
      </c>
      <c r="G13" s="2" t="s">
        <v>36</v>
      </c>
      <c r="H13" s="27">
        <f>IF(COUNTBLANK(D13:G13),"",ROUND(D17/$D$29+E17/$E$29+F17/$F$29+G17/$G$29,1))</f>
        <v>0.2</v>
      </c>
      <c r="I13" s="3">
        <f>IF(COUNTA(B13:G13)=6,1,0)</f>
        <v>1</v>
      </c>
      <c r="J13" s="8" cm="1">
        <f t="array" ref="J13:J16">_xlfn._xlws.SORT(A13:A16,1,-1)</f>
        <v>45894</v>
      </c>
      <c r="K13" s="9">
        <f>IF(J13=0,"",MONTH(J13))</f>
        <v>8</v>
      </c>
      <c r="L13" s="9" cm="1">
        <f t="array" ref="L13:L16">_xlfn._xlws.SORT(K13:K16,1,1)</f>
        <v>1</v>
      </c>
      <c r="M13" s="9">
        <f>CEILING(L13/3,1)</f>
        <v>1</v>
      </c>
      <c r="N13" s="26"/>
      <c r="Q13" s="38"/>
      <c r="R13" s="38" t="b">
        <f>M13=1</f>
        <v>1</v>
      </c>
      <c r="S13" s="40"/>
      <c r="T13" s="40"/>
    </row>
    <row r="14" spans="1:20" ht="16.350000000000001" thickTop="1" thickBot="1" x14ac:dyDescent="0.6">
      <c r="A14" s="1">
        <v>45894</v>
      </c>
      <c r="B14" s="2">
        <v>0</v>
      </c>
      <c r="C14" s="2">
        <v>20</v>
      </c>
      <c r="D14" s="2">
        <v>2</v>
      </c>
      <c r="E14" s="2" t="s">
        <v>36</v>
      </c>
      <c r="F14" s="2">
        <v>15</v>
      </c>
      <c r="G14" s="2" t="s">
        <v>36</v>
      </c>
      <c r="H14" s="27">
        <f>IF(COUNTBLANK(D14:G14),"",ROUND(D18/$D$29+E18/$E$29+F18/$F$29+G18/$G$29,1))</f>
        <v>1.7</v>
      </c>
      <c r="I14" s="3">
        <f>IF(COUNTA(B14:G14)=6,1,0)</f>
        <v>1</v>
      </c>
      <c r="J14" s="8">
        <v>44927</v>
      </c>
      <c r="K14" s="9">
        <f>IF(J14=0,"",MONTH(J14))</f>
        <v>1</v>
      </c>
      <c r="L14" s="9">
        <v>8</v>
      </c>
      <c r="M14" s="9">
        <f t="shared" ref="M14:M16" si="0">CEILING(L14/3,1)</f>
        <v>3</v>
      </c>
      <c r="N14" s="26">
        <f>L14-L13</f>
        <v>7</v>
      </c>
      <c r="O14" s="3" t="e">
        <f t="shared" ref="O14" si="1">N14+N15</f>
        <v>#VALUE!</v>
      </c>
      <c r="Q14" s="38" t="b">
        <f>AND(N14&gt;=$N$6,N14&lt;=$O$6)</f>
        <v>1</v>
      </c>
      <c r="R14" s="38" t="b">
        <f>M14=2</f>
        <v>0</v>
      </c>
      <c r="S14" s="40" t="b">
        <f>AND(N14&gt;=$N$6,N14&lt;=$O$6)</f>
        <v>1</v>
      </c>
      <c r="T14" s="40" t="e">
        <f>AND(O14&gt;=$N$6,O14&lt;=$O$6)</f>
        <v>#VALUE!</v>
      </c>
    </row>
    <row r="15" spans="1:20" ht="16.350000000000001" thickTop="1" thickBot="1" x14ac:dyDescent="0.6">
      <c r="A15" s="1"/>
      <c r="B15" s="2"/>
      <c r="C15" s="2"/>
      <c r="D15" s="2"/>
      <c r="E15" s="2"/>
      <c r="F15" s="2"/>
      <c r="G15" s="2"/>
      <c r="H15" s="27" t="str">
        <f>IF(COUNTBLANK(D15:G15),"",ROUND(D19/$D$29+E19/$E$29+F19/$F$29+G19/$G$29,1))</f>
        <v/>
      </c>
      <c r="I15" s="3">
        <f>IF(COUNTA(B15:G15)=6,1,0)</f>
        <v>0</v>
      </c>
      <c r="J15" s="8">
        <v>0</v>
      </c>
      <c r="K15" s="9" t="str">
        <f>IF(J15=0,"",MONTH(J15))</f>
        <v/>
      </c>
      <c r="L15" s="9" t="str">
        <v/>
      </c>
      <c r="M15" s="9" t="e">
        <f t="shared" si="0"/>
        <v>#VALUE!</v>
      </c>
      <c r="N15" s="26" t="e">
        <f t="shared" ref="N15:N16" si="2">L15-L14</f>
        <v>#VALUE!</v>
      </c>
      <c r="O15" s="3" t="e">
        <f>N15+N16</f>
        <v>#VALUE!</v>
      </c>
      <c r="Q15" s="38" t="e">
        <f t="shared" ref="Q15:Q16" si="3">AND(N15&gt;=$N$6,N15&lt;=$O$6)</f>
        <v>#VALUE!</v>
      </c>
      <c r="R15" s="38" t="e">
        <f>M15=3</f>
        <v>#VALUE!</v>
      </c>
      <c r="S15" s="40" t="e">
        <f t="shared" ref="S15:S16" si="4">AND(N15&gt;=$N$6,N15&lt;=$O$6)</f>
        <v>#VALUE!</v>
      </c>
      <c r="T15" s="40" t="e">
        <f t="shared" ref="T15:T16" si="5">AND(O15&gt;=$N$6,O15&lt;=$O$6)</f>
        <v>#VALUE!</v>
      </c>
    </row>
    <row r="16" spans="1:20" ht="16.350000000000001" thickTop="1" thickBot="1" x14ac:dyDescent="0.6">
      <c r="A16" s="1"/>
      <c r="B16" s="2"/>
      <c r="C16" s="2"/>
      <c r="D16" s="2"/>
      <c r="E16" s="2"/>
      <c r="F16" s="2"/>
      <c r="G16" s="2"/>
      <c r="H16" s="27" t="str">
        <f>IF(COUNTBLANK(D16:G16),"",ROUND(D20/$D$29+E20/$E$29+F20/$F$29+G20/$G$29,1))</f>
        <v/>
      </c>
      <c r="I16" s="3">
        <f>IF(COUNTA(B16:G16)=6,1,0)</f>
        <v>0</v>
      </c>
      <c r="J16" s="8">
        <v>0</v>
      </c>
      <c r="K16" s="9" t="str">
        <f>IF(J16=0,"",MONTH(J16))</f>
        <v/>
      </c>
      <c r="L16" s="9" t="str">
        <v/>
      </c>
      <c r="M16" s="9" t="e">
        <f t="shared" si="0"/>
        <v>#VALUE!</v>
      </c>
      <c r="N16" s="26" t="e">
        <f t="shared" si="2"/>
        <v>#VALUE!</v>
      </c>
      <c r="O16" s="3" t="e">
        <f>N16+N14</f>
        <v>#VALUE!</v>
      </c>
      <c r="Q16" s="38" t="e">
        <f t="shared" si="3"/>
        <v>#VALUE!</v>
      </c>
      <c r="R16" s="38" t="e">
        <f>M16=4</f>
        <v>#VALUE!</v>
      </c>
      <c r="S16" s="40" t="e">
        <f t="shared" si="4"/>
        <v>#VALUE!</v>
      </c>
      <c r="T16" s="40" t="e">
        <f t="shared" si="5"/>
        <v>#VALUE!</v>
      </c>
    </row>
    <row r="17" spans="1:21" ht="16" hidden="1" thickTop="1" x14ac:dyDescent="0.55000000000000004">
      <c r="A17" s="10"/>
      <c r="B17" s="11">
        <f t="shared" ref="B17:H17" si="6">IF(ISBLANK(B13),0,IF(ISNUMBER(B13),B13,0))</f>
        <v>0</v>
      </c>
      <c r="C17" s="11">
        <f t="shared" si="6"/>
        <v>22</v>
      </c>
      <c r="D17" s="11">
        <f t="shared" si="6"/>
        <v>2</v>
      </c>
      <c r="E17" s="11">
        <f t="shared" si="6"/>
        <v>4</v>
      </c>
      <c r="F17" s="11">
        <f t="shared" si="6"/>
        <v>0</v>
      </c>
      <c r="G17" s="11">
        <f t="shared" si="6"/>
        <v>0</v>
      </c>
      <c r="H17" s="11">
        <f t="shared" si="6"/>
        <v>0.2</v>
      </c>
      <c r="I17" s="12"/>
      <c r="L17" s="36"/>
      <c r="M17" s="36"/>
      <c r="N17" s="37" t="s">
        <v>37</v>
      </c>
      <c r="O17" s="37" t="s">
        <v>38</v>
      </c>
      <c r="P17" s="37" t="s">
        <v>34</v>
      </c>
      <c r="Q17" s="39" t="b" cm="1">
        <f t="array" ref="Q17">AND(IFERROR(Q14:Q16,FALSE))</f>
        <v>0</v>
      </c>
      <c r="R17" s="39" t="b" cm="1">
        <f t="array" ref="R17">AND(IFERROR(R13:R16,FALSE))</f>
        <v>0</v>
      </c>
      <c r="S17" s="41"/>
      <c r="T17" s="41"/>
      <c r="U17" s="6"/>
    </row>
    <row r="18" spans="1:21" hidden="1" x14ac:dyDescent="0.55000000000000004">
      <c r="A18" s="10"/>
      <c r="B18" s="11">
        <f t="shared" ref="B18:H20" si="7">IF(ISBLANK(B14),0,IF(ISNUMBER(B14),B14,0))</f>
        <v>0</v>
      </c>
      <c r="C18" s="11">
        <f t="shared" si="7"/>
        <v>20</v>
      </c>
      <c r="D18" s="11">
        <f t="shared" si="7"/>
        <v>2</v>
      </c>
      <c r="E18" s="11">
        <f t="shared" si="7"/>
        <v>0</v>
      </c>
      <c r="F18" s="11">
        <f t="shared" si="7"/>
        <v>15</v>
      </c>
      <c r="G18" s="11">
        <f t="shared" si="7"/>
        <v>0</v>
      </c>
      <c r="H18" s="11">
        <f t="shared" si="7"/>
        <v>1.7</v>
      </c>
      <c r="I18" s="12"/>
      <c r="L18" s="42" t="s">
        <v>39</v>
      </c>
      <c r="M18" s="42"/>
      <c r="N18" s="42" t="b">
        <f>IF(P6=2,T18,R18)</f>
        <v>1</v>
      </c>
      <c r="O18" s="42" t="b">
        <f>IF(SUM(I13:I16)&gt;=P6,TRUE,FALSE)</f>
        <v>1</v>
      </c>
      <c r="P18" s="42" t="b">
        <f>AND(N18:O18)</f>
        <v>1</v>
      </c>
      <c r="Q18" s="38"/>
      <c r="R18" s="39" t="b">
        <f>AND(Q17:R17)</f>
        <v>0</v>
      </c>
      <c r="S18" s="41"/>
      <c r="T18" s="41" t="b" cm="1">
        <f t="array" ref="T18">OR(IFERROR(S14:T16,FALSE))</f>
        <v>1</v>
      </c>
    </row>
    <row r="19" spans="1:21" hidden="1" x14ac:dyDescent="0.55000000000000004">
      <c r="A19" s="10"/>
      <c r="B19" s="11">
        <f t="shared" ref="B19" si="8">IF(ISBLANK(B15),0,IF(ISNUMBER(B15),B15,0))</f>
        <v>0</v>
      </c>
      <c r="C19" s="11">
        <f>IF(ISBLANK(C15),0,IF(ISNUMBER(C15),C15,0))</f>
        <v>0</v>
      </c>
      <c r="D19" s="11">
        <f t="shared" ref="D19:H19" si="9">IF(ISBLANK(D15),0,IF(ISNUMBER(D15),D15,0))</f>
        <v>0</v>
      </c>
      <c r="E19" s="11">
        <f t="shared" si="9"/>
        <v>0</v>
      </c>
      <c r="F19" s="11">
        <f t="shared" si="9"/>
        <v>0</v>
      </c>
      <c r="G19" s="11">
        <f t="shared" si="9"/>
        <v>0</v>
      </c>
      <c r="H19" s="11">
        <f t="shared" si="9"/>
        <v>0</v>
      </c>
      <c r="I19" s="12"/>
      <c r="L19" s="4"/>
      <c r="M19" s="4"/>
    </row>
    <row r="20" spans="1:21" hidden="1" x14ac:dyDescent="0.55000000000000004">
      <c r="A20" s="5"/>
      <c r="B20" s="11">
        <f t="shared" ref="B20" si="10">IF(ISBLANK(B16),0,IF(ISNUMBER(B16),B16,0))</f>
        <v>0</v>
      </c>
      <c r="C20" s="11">
        <f>IF(ISBLANK(C16),0,IF(ISNUMBER(C16),C16,0))</f>
        <v>0</v>
      </c>
      <c r="D20" s="11">
        <f t="shared" si="7"/>
        <v>0</v>
      </c>
      <c r="E20" s="11">
        <f t="shared" si="7"/>
        <v>0</v>
      </c>
      <c r="F20" s="11">
        <f t="shared" si="7"/>
        <v>0</v>
      </c>
      <c r="G20" s="11">
        <f t="shared" si="7"/>
        <v>0</v>
      </c>
      <c r="H20" s="11">
        <f t="shared" si="7"/>
        <v>0</v>
      </c>
      <c r="I20" s="12"/>
    </row>
    <row r="21" spans="1:21" ht="16" hidden="1" thickBot="1" x14ac:dyDescent="0.6">
      <c r="A21" s="5"/>
      <c r="B21" s="12"/>
      <c r="C21" s="12"/>
      <c r="D21" s="12"/>
      <c r="E21" s="12"/>
      <c r="F21" s="12"/>
      <c r="G21" s="12"/>
    </row>
    <row r="22" spans="1:21" ht="16.350000000000001" hidden="1" thickTop="1" thickBot="1" x14ac:dyDescent="0.6">
      <c r="A22" s="5" t="s">
        <v>40</v>
      </c>
      <c r="B22" s="13">
        <f>IF(AND(B$17&lt;=B27,B$18&lt;=B27,B$19&lt;=B27,B$20&lt;=B27),0,1)</f>
        <v>0</v>
      </c>
      <c r="C22" s="13">
        <f>IF(AND(C$17&lt;=C27,C$18&lt;=C27,C$19&lt;=C27,C$20&lt;=C27),0,1)</f>
        <v>1</v>
      </c>
      <c r="D22" s="13">
        <f t="shared" ref="D22:H22" si="11">IF(AND(D$17&lt;=D27,D$18&lt;=D27,D$19&lt;=D27,D$20&lt;=D27),0,1)</f>
        <v>0</v>
      </c>
      <c r="E22" s="13">
        <f t="shared" si="11"/>
        <v>0</v>
      </c>
      <c r="F22" s="13">
        <f t="shared" si="11"/>
        <v>1</v>
      </c>
      <c r="G22" s="13">
        <f t="shared" si="11"/>
        <v>0</v>
      </c>
      <c r="H22" s="13">
        <f t="shared" si="11"/>
        <v>1</v>
      </c>
      <c r="I22" s="14"/>
      <c r="J22" s="14"/>
      <c r="K22" s="14"/>
    </row>
    <row r="23" spans="1:21" ht="16" hidden="1" thickTop="1" x14ac:dyDescent="0.55000000000000004">
      <c r="A23" s="15" t="s">
        <v>41</v>
      </c>
      <c r="B23" s="13">
        <f t="shared" ref="B23:H23" si="12">IF(AND(B$17&lt;B28,B$18&lt;B28,B$19&lt;B28,B$20&lt;B28),0,1)</f>
        <v>0</v>
      </c>
      <c r="C23" s="13">
        <f t="shared" si="12"/>
        <v>1</v>
      </c>
      <c r="D23" s="13">
        <f t="shared" si="12"/>
        <v>0</v>
      </c>
      <c r="E23" s="13">
        <f t="shared" si="12"/>
        <v>0</v>
      </c>
      <c r="F23" s="13">
        <f t="shared" si="12"/>
        <v>1</v>
      </c>
      <c r="G23" s="13">
        <f t="shared" si="12"/>
        <v>0</v>
      </c>
      <c r="H23" s="13">
        <f t="shared" si="12"/>
        <v>1</v>
      </c>
      <c r="I23" s="14"/>
      <c r="J23" s="14"/>
      <c r="K23" s="14"/>
    </row>
    <row r="24" spans="1:21" hidden="1" x14ac:dyDescent="0.55000000000000004">
      <c r="A24" s="15" t="s">
        <v>42</v>
      </c>
      <c r="B24" s="16">
        <f>SUM(B17:B20)/(COUNTIF(B13:B16,"*?")+COUNT(B13:B16))</f>
        <v>0</v>
      </c>
      <c r="C24" s="16">
        <f t="shared" ref="C24:G24" si="13">SUM(C17:C20)/(COUNTIF(C13:C16,"*?")+COUNT(C13:C16))</f>
        <v>21</v>
      </c>
      <c r="D24" s="16">
        <f t="shared" si="13"/>
        <v>2</v>
      </c>
      <c r="E24" s="16">
        <f t="shared" si="13"/>
        <v>2</v>
      </c>
      <c r="F24" s="16">
        <f t="shared" si="13"/>
        <v>7.5</v>
      </c>
      <c r="G24" s="16">
        <f t="shared" si="13"/>
        <v>0</v>
      </c>
      <c r="H24" s="16">
        <f>SUM(H17:H20)/(COUNTIF(H13:H16,"*?")+COUNT(H13:H16))</f>
        <v>0.95</v>
      </c>
      <c r="I24" s="17"/>
      <c r="J24" s="14"/>
      <c r="K24" s="14"/>
    </row>
    <row r="25" spans="1:21" ht="16" thickTop="1" x14ac:dyDescent="0.55000000000000004">
      <c r="A25" s="15"/>
      <c r="B25" s="16"/>
      <c r="C25" s="16"/>
      <c r="D25" s="16"/>
      <c r="E25" s="16"/>
      <c r="F25" s="16"/>
      <c r="G25" s="16"/>
      <c r="H25" s="16"/>
      <c r="I25" s="17"/>
      <c r="J25" s="14"/>
      <c r="K25" s="14"/>
    </row>
    <row r="26" spans="1:21" x14ac:dyDescent="0.55000000000000004">
      <c r="A26" s="18" t="s">
        <v>76</v>
      </c>
      <c r="B26" s="19">
        <f>SUM(B17:B20)/(COUNTIF(B13:B16,"*?")+COUNT(B13:B16))</f>
        <v>0</v>
      </c>
      <c r="C26" s="19">
        <f t="shared" ref="C26:H26" si="14">SUM(C17:C20)/(COUNTIF(C13:C16,"*?")+COUNT(C13:C16))</f>
        <v>21</v>
      </c>
      <c r="D26" s="19">
        <f t="shared" si="14"/>
        <v>2</v>
      </c>
      <c r="E26" s="19">
        <f t="shared" si="14"/>
        <v>2</v>
      </c>
      <c r="F26" s="19">
        <f t="shared" si="14"/>
        <v>7.5</v>
      </c>
      <c r="G26" s="19">
        <f t="shared" si="14"/>
        <v>0</v>
      </c>
      <c r="H26" s="19">
        <f t="shared" si="14"/>
        <v>0.95</v>
      </c>
      <c r="I26" s="14"/>
      <c r="J26" s="14"/>
      <c r="K26" s="14"/>
    </row>
    <row r="27" spans="1:21" x14ac:dyDescent="0.55000000000000004">
      <c r="A27" s="18" t="s">
        <v>43</v>
      </c>
      <c r="B27" s="20">
        <f>0.000004
*1000000</f>
        <v>4</v>
      </c>
      <c r="C27" s="20">
        <f>0.000004
*1000000</f>
        <v>4</v>
      </c>
      <c r="D27" s="21">
        <f>0.00001
*1000000</f>
        <v>10</v>
      </c>
      <c r="E27" s="21" t="s">
        <v>44</v>
      </c>
      <c r="F27" s="21">
        <f>0.00001*1000000</f>
        <v>10</v>
      </c>
      <c r="G27" s="21">
        <f>0.00001*1000000</f>
        <v>10</v>
      </c>
      <c r="H27" s="21">
        <v>1</v>
      </c>
    </row>
    <row r="28" spans="1:21" x14ac:dyDescent="0.55000000000000004">
      <c r="A28" s="18" t="s">
        <v>45</v>
      </c>
      <c r="B28" s="20">
        <v>2</v>
      </c>
      <c r="C28" s="20">
        <v>2</v>
      </c>
      <c r="D28" s="21">
        <v>5</v>
      </c>
      <c r="E28" s="21" t="s">
        <v>44</v>
      </c>
      <c r="F28" s="21">
        <v>5</v>
      </c>
      <c r="G28" s="21">
        <v>5</v>
      </c>
      <c r="H28" s="21">
        <v>0.5</v>
      </c>
    </row>
    <row r="29" spans="1:21" ht="47" x14ac:dyDescent="0.55000000000000004">
      <c r="A29" s="18" t="s">
        <v>46</v>
      </c>
      <c r="B29" s="20" t="s">
        <v>44</v>
      </c>
      <c r="C29" s="20" t="s">
        <v>44</v>
      </c>
      <c r="D29" s="21">
        <v>10</v>
      </c>
      <c r="E29" s="21">
        <v>2000</v>
      </c>
      <c r="F29" s="21">
        <v>10</v>
      </c>
      <c r="G29" s="21">
        <v>10</v>
      </c>
      <c r="H29" s="21" t="s">
        <v>44</v>
      </c>
    </row>
    <row r="30" spans="1:21" x14ac:dyDescent="0.55000000000000004">
      <c r="A30" s="22"/>
      <c r="B30" s="14"/>
      <c r="C30" s="14"/>
      <c r="D30" s="17"/>
      <c r="E30" s="17"/>
      <c r="F30" s="17"/>
      <c r="G30" s="17"/>
    </row>
    <row r="31" spans="1:21" ht="35.450000000000003" customHeight="1" x14ac:dyDescent="0.55000000000000004">
      <c r="A31" s="54" t="s">
        <v>47</v>
      </c>
      <c r="B31" s="54"/>
      <c r="C31" s="54"/>
      <c r="D31" s="54"/>
      <c r="E31" s="54"/>
      <c r="F31" s="54"/>
      <c r="G31" s="54"/>
      <c r="H31" s="54"/>
      <c r="I31" s="22"/>
      <c r="J31" s="22"/>
      <c r="K31" s="22"/>
      <c r="L31" s="3" t="s">
        <v>48</v>
      </c>
    </row>
    <row r="32" spans="1:21" ht="16" thickBot="1" x14ac:dyDescent="0.6">
      <c r="A32" s="4"/>
      <c r="K32" s="3" t="s">
        <v>49</v>
      </c>
      <c r="L32" s="3" t="s">
        <v>50</v>
      </c>
    </row>
    <row r="33" spans="1:12" ht="32" thickTop="1" thickBot="1" x14ac:dyDescent="0.6">
      <c r="A33" s="23" t="s">
        <v>51</v>
      </c>
      <c r="B33" s="23" t="s">
        <v>20</v>
      </c>
      <c r="C33" s="23" t="s">
        <v>21</v>
      </c>
      <c r="D33" s="23" t="s">
        <v>22</v>
      </c>
      <c r="E33" s="23" t="s">
        <v>23</v>
      </c>
      <c r="F33" s="23" t="s">
        <v>24</v>
      </c>
      <c r="G33" s="23" t="s">
        <v>25</v>
      </c>
      <c r="H33" s="23" t="s">
        <v>52</v>
      </c>
      <c r="I33" s="5"/>
      <c r="J33" s="5"/>
      <c r="K33" s="5" t="s">
        <v>53</v>
      </c>
      <c r="L33" s="3" t="s">
        <v>54</v>
      </c>
    </row>
    <row r="34" spans="1:12" ht="32" thickTop="1" thickBot="1" x14ac:dyDescent="0.6">
      <c r="A34" s="28" t="s">
        <v>55</v>
      </c>
      <c r="B34" s="28" t="str">
        <f>IFERROR(IF(ROUND(B24,1)&gt;B27,"Y","N"),"N")</f>
        <v>N</v>
      </c>
      <c r="C34" s="28" t="str">
        <f t="shared" ref="C34:D34" si="15">IFERROR(IF(ROUND(C24,1)&gt;C27,"Y","N"),"N")</f>
        <v>Y</v>
      </c>
      <c r="D34" s="28" t="str">
        <f t="shared" si="15"/>
        <v>N</v>
      </c>
      <c r="E34" s="29" t="s">
        <v>56</v>
      </c>
      <c r="F34" s="28" t="str">
        <f t="shared" ref="F34:H34" si="16">IFERROR(IF(ROUND(F24,1)&gt;F27,"Y","N"),"N")</f>
        <v>N</v>
      </c>
      <c r="G34" s="28" t="str">
        <f t="shared" si="16"/>
        <v>N</v>
      </c>
      <c r="H34" s="28" t="str">
        <f t="shared" si="16"/>
        <v>N</v>
      </c>
      <c r="I34" s="5"/>
      <c r="J34" s="5"/>
      <c r="K34" s="5" t="s">
        <v>57</v>
      </c>
      <c r="L34" s="3" t="s">
        <v>78</v>
      </c>
    </row>
    <row r="35" spans="1:12" ht="16.350000000000001" thickTop="1" thickBot="1" x14ac:dyDescent="0.6">
      <c r="A35" s="28" t="s">
        <v>58</v>
      </c>
      <c r="B35" s="29" t="str">
        <f>IFERROR(IF(B22,"Y","N"),"")</f>
        <v>N</v>
      </c>
      <c r="C35" s="29" t="str">
        <f t="shared" ref="C35:H35" si="17">IFERROR(IF(C22,"Y","N"),"")</f>
        <v>Y</v>
      </c>
      <c r="D35" s="29" t="str">
        <f t="shared" si="17"/>
        <v>N</v>
      </c>
      <c r="E35" s="29" t="str">
        <f t="shared" si="17"/>
        <v>N</v>
      </c>
      <c r="F35" s="29" t="str">
        <f t="shared" si="17"/>
        <v>Y</v>
      </c>
      <c r="G35" s="29" t="str">
        <f t="shared" si="17"/>
        <v>N</v>
      </c>
      <c r="H35" s="29" t="str">
        <f t="shared" si="17"/>
        <v>Y</v>
      </c>
      <c r="I35" s="24"/>
      <c r="J35" s="24"/>
      <c r="K35" s="24" t="s">
        <v>59</v>
      </c>
      <c r="L35" s="3" t="s">
        <v>60</v>
      </c>
    </row>
    <row r="36" spans="1:12" ht="32" thickTop="1" thickBot="1" x14ac:dyDescent="0.6">
      <c r="A36" s="28" t="s">
        <v>77</v>
      </c>
      <c r="B36" s="29" t="str">
        <f>IFERROR(IF(B23,"Y","N"),"")</f>
        <v>N</v>
      </c>
      <c r="C36" s="29" t="str">
        <f t="shared" ref="C36:H36" si="18">IFERROR(IF(C23,"Y","N"),"")</f>
        <v>Y</v>
      </c>
      <c r="D36" s="29" t="str">
        <f t="shared" si="18"/>
        <v>N</v>
      </c>
      <c r="E36" s="29" t="str">
        <f t="shared" si="18"/>
        <v>N</v>
      </c>
      <c r="F36" s="29" t="str">
        <f t="shared" si="18"/>
        <v>Y</v>
      </c>
      <c r="G36" s="29" t="str">
        <f t="shared" si="18"/>
        <v>N</v>
      </c>
      <c r="H36" s="29" t="str">
        <f t="shared" si="18"/>
        <v>Y</v>
      </c>
      <c r="I36" s="24"/>
      <c r="J36" s="24"/>
      <c r="K36" s="24" t="s">
        <v>61</v>
      </c>
      <c r="L36" s="3" t="s">
        <v>62</v>
      </c>
    </row>
    <row r="37" spans="1:12" ht="87.95" customHeight="1" thickTop="1" thickBot="1" x14ac:dyDescent="0.6">
      <c r="A37" s="43" t="str">
        <f>IF(ISNUMBER(SEARCH("Y",_xlfn.CONCAT(B34:H34))),L32,"")&amp;IF(ISNUMBER(SEARCH("Y",_xlfn.CONCAT(B35:H35))),L33,"")&amp;IF(ISNUMBER(SEARCH("Y",_xlfn.CONCAT(B36:G36))),L34,"")&amp;IF(P18,L35,L36)</f>
        <v>You could be out of compliance starting 2029.  Contact your ODW Field Office to discuss options for remediation, including treatment or replacement of the affected source.  Because you exceed a PMCL, you should contact your ODW Field Office to discuss these results.  Results at or above a trigger level may increase monitoring frequency once routine monitoring begins 2027.  You have completed your initial monitoring. Thank you!</v>
      </c>
      <c r="B37" s="44"/>
      <c r="C37" s="44"/>
      <c r="D37" s="44"/>
      <c r="E37" s="44"/>
      <c r="F37" s="44"/>
      <c r="G37" s="44"/>
      <c r="H37" s="45"/>
      <c r="I37" s="25"/>
    </row>
    <row r="38" spans="1:12" ht="16" thickTop="1" x14ac:dyDescent="0.55000000000000004"/>
  </sheetData>
  <sheetProtection sheet="1" selectLockedCells="1"/>
  <mergeCells count="10">
    <mergeCell ref="A37:H37"/>
    <mergeCell ref="B9:F9"/>
    <mergeCell ref="B4:F4"/>
    <mergeCell ref="B6:F6"/>
    <mergeCell ref="A1:H1"/>
    <mergeCell ref="A2:H2"/>
    <mergeCell ref="B7:F7"/>
    <mergeCell ref="B5:F5"/>
    <mergeCell ref="A31:H31"/>
    <mergeCell ref="B8:F8"/>
  </mergeCells>
  <phoneticPr fontId="5" type="noConversion"/>
  <conditionalFormatting sqref="B34:K36 J37:K37 B38:K335">
    <cfRule type="containsText" dxfId="0" priority="2" operator="containsText" text="Y">
      <formula>NOT(ISERROR(SEARCH("Y",B34)))</formula>
    </cfRule>
  </conditionalFormatting>
  <dataValidations count="3">
    <dataValidation type="date" allowBlank="1" showInputMessage="1" showErrorMessage="1" errorTitle="Invalid Date" error="Samples for initial monitoring compliance must be collected starting 1/1/2019 and ending 4/26/2027!" sqref="A13:A16" xr:uid="{9E678505-ADB2-49AC-9F32-33AA747AD866}">
      <formula1>43466</formula1>
      <formula2>46503</formula2>
    </dataValidation>
    <dataValidation type="whole" operator="greaterThan" allowBlank="1" showInputMessage="1" showErrorMessage="1" sqref="B6:F6" xr:uid="{4C18AD97-1E3E-497E-8181-0B263AE62243}">
      <formula1>0</formula1>
    </dataValidation>
    <dataValidation type="list" allowBlank="1" showInputMessage="1" showErrorMessage="1" sqref="B8:F8" xr:uid="{3B1DBB62-CF7D-443C-869A-E83EC1940D93}">
      <formula1>$K$7:$K$9</formula1>
    </dataValidation>
  </dataValidations>
  <printOptions horizontalCentered="1"/>
  <pageMargins left="0.25" right="0.25" top="0.5" bottom="0.5" header="0.2" footer="0.2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0cf8a6-db13-44ff-9be7-8993c21021b7" xsi:nil="true"/>
    <lcf76f155ced4ddcb4097134ff3c332f xmlns="bc7859b9-5717-42f6-ada5-7b436250c4c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924ED2C8492E4EADBA937CA1119FD6" ma:contentTypeVersion="14" ma:contentTypeDescription="Create a new document." ma:contentTypeScope="" ma:versionID="b2a4febf1b16837a0e3790519255410a">
  <xsd:schema xmlns:xsd="http://www.w3.org/2001/XMLSchema" xmlns:xs="http://www.w3.org/2001/XMLSchema" xmlns:p="http://schemas.microsoft.com/office/2006/metadata/properties" xmlns:ns2="bc7859b9-5717-42f6-ada5-7b436250c4c9" xmlns:ns3="4d0cf8a6-db13-44ff-9be7-8993c21021b7" targetNamespace="http://schemas.microsoft.com/office/2006/metadata/properties" ma:root="true" ma:fieldsID="dbddb7ccc421e5d2b9df85c60e8ecd84" ns2:_="" ns3:_="">
    <xsd:import namespace="bc7859b9-5717-42f6-ada5-7b436250c4c9"/>
    <xsd:import namespace="4d0cf8a6-db13-44ff-9be7-8993c21021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7859b9-5717-42f6-ada5-7b436250c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0920e099-540f-4e49-b54d-0e500676cc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cf8a6-db13-44ff-9be7-8993c21021b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23daea-59c2-4baf-b929-b88e0f1c30f7}" ma:internalName="TaxCatchAll" ma:showField="CatchAllData" ma:web="4d0cf8a6-db13-44ff-9be7-8993c21021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627CAE-4D1E-4F44-9CC5-3497EF3811D7}">
  <ds:schemaRefs>
    <ds:schemaRef ds:uri="http://schemas.microsoft.com/office/2006/metadata/properties"/>
    <ds:schemaRef ds:uri="http://schemas.microsoft.com/office/infopath/2007/PartnerControls"/>
    <ds:schemaRef ds:uri="4d0cf8a6-db13-44ff-9be7-8993c21021b7"/>
    <ds:schemaRef ds:uri="bc7859b9-5717-42f6-ada5-7b436250c4c9"/>
  </ds:schemaRefs>
</ds:datastoreItem>
</file>

<file path=customXml/itemProps2.xml><?xml version="1.0" encoding="utf-8"?>
<ds:datastoreItem xmlns:ds="http://schemas.openxmlformats.org/officeDocument/2006/customXml" ds:itemID="{66ECF03F-7E1D-4B9F-835E-3D4B7E40C1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7FADE8-53C8-4FE1-B774-0DC1E8ADC7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7859b9-5717-42f6-ada5-7b436250c4c9"/>
    <ds:schemaRef ds:uri="4d0cf8a6-db13-44ff-9be7-8993c21021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VITA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Kieffer, Robert (VDH)</dc:creator>
  <cp:keywords/>
  <dc:description/>
  <cp:lastModifiedBy>Kieffer, Robert (VDH)</cp:lastModifiedBy>
  <cp:revision/>
  <cp:lastPrinted>2025-09-08T18:18:18Z</cp:lastPrinted>
  <dcterms:created xsi:type="dcterms:W3CDTF">2025-08-08T15:02:59Z</dcterms:created>
  <dcterms:modified xsi:type="dcterms:W3CDTF">2026-01-08T19:42:05Z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0x0101002B924ED2C8492E4EADBA937CA1119FD6</vt:lpwstr>
  </property>
  <property fmtid="{D5CDD505-2E9C-101B-9397-08002B2CF9AE}" pid="3" name="MediaServiceImageTags">
    <vt:lpwstr/>
  </property>
</Properties>
</file>