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700" activeTab="0"/>
  </bookViews>
  <sheets>
    <sheet name="Design-VDH" sheetId="1" r:id="rId1"/>
    <sheet name="Design-P.E.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<sst xmlns="http://schemas.openxmlformats.org/spreadsheetml/2006/main" count="78" uniqueCount="37">
  <si>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Run-off hours per day</t>
  </si>
  <si>
    <t>Run-off days per week</t>
  </si>
  <si>
    <t>Organic Loading</t>
  </si>
  <si>
    <t>mg/l</t>
  </si>
  <si>
    <t>lbs/d</t>
  </si>
  <si>
    <t>lbs/cap</t>
  </si>
  <si>
    <t>Hydraulic Loading</t>
  </si>
  <si>
    <t>Gallons</t>
  </si>
  <si>
    <t>per week</t>
  </si>
  <si>
    <t>per day</t>
  </si>
  <si>
    <t>Aeration Calculations</t>
  </si>
  <si>
    <t>lbs</t>
  </si>
  <si>
    <t>Blower</t>
  </si>
  <si>
    <t>cfm</t>
  </si>
  <si>
    <t>Platinum SAF Sizing Table</t>
  </si>
  <si>
    <t>Model</t>
  </si>
  <si>
    <r>
      <t>BOD</t>
    </r>
    <r>
      <rPr>
        <b/>
        <sz val="6"/>
        <rFont val="Arial Narrow"/>
        <family val="2"/>
      </rPr>
      <t>5</t>
    </r>
    <r>
      <rPr>
        <b/>
        <sz val="10"/>
        <rFont val="Arial Narrow"/>
        <family val="2"/>
      </rPr>
      <t>, lbs/cap/d</t>
    </r>
  </si>
  <si>
    <r>
      <t>O</t>
    </r>
    <r>
      <rPr>
        <b/>
        <sz val="6"/>
        <rFont val="Arial Narrow"/>
        <family val="2"/>
      </rPr>
      <t>2</t>
    </r>
    <r>
      <rPr>
        <b/>
        <sz val="10"/>
        <rFont val="Arial Narrow"/>
        <family val="2"/>
      </rPr>
      <t xml:space="preserve"> Transfer Efficiency</t>
    </r>
  </si>
  <si>
    <r>
      <t>O</t>
    </r>
    <r>
      <rPr>
        <b/>
        <sz val="6"/>
        <rFont val="Arial Narrow"/>
        <family val="2"/>
      </rPr>
      <t>2</t>
    </r>
    <r>
      <rPr>
        <b/>
        <sz val="10"/>
        <rFont val="Arial Narrow"/>
        <family val="2"/>
      </rPr>
      <t xml:space="preserve"> lbs per BOD</t>
    </r>
    <r>
      <rPr>
        <b/>
        <sz val="6"/>
        <rFont val="Arial Narrow"/>
        <family val="2"/>
      </rPr>
      <t>5</t>
    </r>
    <r>
      <rPr>
        <b/>
        <sz val="10"/>
        <rFont val="Arial Narrow"/>
        <family val="2"/>
      </rPr>
      <t xml:space="preserve"> lbs</t>
    </r>
  </si>
  <si>
    <r>
      <t>Influent BOD</t>
    </r>
    <r>
      <rPr>
        <sz val="6"/>
        <rFont val="Arial Narrow"/>
        <family val="2"/>
      </rPr>
      <t>5</t>
    </r>
  </si>
  <si>
    <r>
      <t>O</t>
    </r>
    <r>
      <rPr>
        <sz val="6"/>
        <rFont val="Arial Narrow"/>
        <family val="2"/>
      </rPr>
      <t>2</t>
    </r>
  </si>
  <si>
    <r>
      <t>Effluent BOD</t>
    </r>
    <r>
      <rPr>
        <sz val="6"/>
        <rFont val="Arial Narrow"/>
        <family val="2"/>
      </rPr>
      <t>5</t>
    </r>
  </si>
  <si>
    <r>
      <t xml:space="preserve">Directions: Fill-in applicable cells in </t>
    </r>
    <r>
      <rPr>
        <b/>
        <sz val="10"/>
        <color indexed="17"/>
        <rFont val="Arial Narrow"/>
        <family val="2"/>
      </rPr>
      <t>GREEN</t>
    </r>
    <r>
      <rPr>
        <b/>
        <sz val="10"/>
        <rFont val="Arial Narrow"/>
        <family val="2"/>
      </rPr>
      <t>.</t>
    </r>
  </si>
  <si>
    <t>Blower, cfm</t>
  </si>
  <si>
    <t>People, no.</t>
  </si>
  <si>
    <t>Flow, gal/cap</t>
  </si>
  <si>
    <t>Surface area</t>
  </si>
  <si>
    <t>Volume req'd</t>
  </si>
  <si>
    <r>
      <t>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</si>
  <si>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</si>
  <si>
    <t>SAF Media</t>
  </si>
  <si>
    <r>
      <t>BOD</t>
    </r>
    <r>
      <rPr>
        <sz val="6"/>
        <rFont val="Arial Narrow"/>
        <family val="2"/>
      </rPr>
      <t>5</t>
    </r>
    <r>
      <rPr>
        <sz val="10"/>
        <rFont val="Arial Narrow"/>
        <family val="2"/>
      </rPr>
      <t xml:space="preserve"> Loading</t>
    </r>
  </si>
  <si>
    <r>
      <t>g/m</t>
    </r>
    <r>
      <rPr>
        <vertAlign val="superscript"/>
        <sz val="10"/>
        <rFont val="Arial Narrow"/>
        <family val="2"/>
      </rPr>
      <t>2</t>
    </r>
  </si>
  <si>
    <r>
      <t>Media volume, m</t>
    </r>
    <r>
      <rPr>
        <b/>
        <vertAlign val="superscript"/>
        <sz val="10"/>
        <rFont val="Arial Narrow"/>
        <family val="2"/>
      </rPr>
      <t>3</t>
    </r>
    <r>
      <rPr>
        <b/>
        <sz val="8"/>
        <rFont val="Arial Narrow"/>
        <family val="2"/>
      </rPr>
      <t xml:space="preserve"> (loading must be </t>
    </r>
    <r>
      <rPr>
        <b/>
        <sz val="8"/>
        <rFont val="Arial"/>
        <family val="0"/>
      </rPr>
      <t>≤</t>
    </r>
    <r>
      <rPr>
        <b/>
        <sz val="8"/>
        <rFont val="Arial Narrow"/>
        <family val="2"/>
      </rPr>
      <t>4.5g/m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>)</t>
    </r>
  </si>
  <si>
    <t>Units req'd, no.</t>
  </si>
  <si>
    <t>Virginia Platinum Design Worksheet - Professional Engineer per §32.1-163.6</t>
  </si>
  <si>
    <t>Virginia Platinum Design Worksheet - VDH Approval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</si>
</sst>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0.0000"/>
    <numFmt numFmtId="170" formatCode="0.0%"/>
  </numFmts>
  <fonts count="37">
    <font>
      <sz val="11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8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6"/>
      <name val="Arial Narrow"/>
      <family val="2"/>
    </font>
    <font>
      <b/>
      <vertAlign val="superscript"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0"/>
    </font>
    <font>
      <b/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3" fontId="9" fillId="24" borderId="10" xfId="0" applyNumberFormat="1" applyFont="1" applyFill="1" applyBorder="1" applyAlignment="1" applyProtection="1">
      <alignment horizontal="center" vertical="center"/>
      <protection locked="0"/>
    </xf>
    <xf numFmtId="165" fontId="9" fillId="24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>
      <alignment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4" fontId="7" fillId="0" borderId="0" xfId="0" applyNumberFormat="1" applyFont="1" applyAlignment="1" applyProtection="1">
      <alignment wrapText="1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center"/>
      <protection hidden="1"/>
    </xf>
    <xf numFmtId="3" fontId="14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3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 applyProtection="1">
      <alignment horizontal="left"/>
      <protection hidden="1"/>
    </xf>
    <xf numFmtId="4" fontId="9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4" fontId="6" fillId="0" borderId="17" xfId="0" applyNumberFormat="1" applyFont="1" applyBorder="1" applyAlignment="1" applyProtection="1">
      <alignment/>
      <protection hidden="1"/>
    </xf>
    <xf numFmtId="4" fontId="7" fillId="0" borderId="0" xfId="0" applyNumberFormat="1" applyFont="1" applyAlignment="1" applyProtection="1">
      <alignment horizontal="right"/>
      <protection hidden="1"/>
    </xf>
    <xf numFmtId="3" fontId="6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" fontId="6" fillId="0" borderId="18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/>
      <protection hidden="1"/>
    </xf>
    <xf numFmtId="4" fontId="6" fillId="0" borderId="19" xfId="0" applyNumberFormat="1" applyFont="1" applyBorder="1" applyAlignment="1" applyProtection="1">
      <alignment horizontal="right"/>
      <protection hidden="1"/>
    </xf>
    <xf numFmtId="4" fontId="6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3" fontId="6" fillId="0" borderId="0" xfId="0" applyNumberFormat="1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/>
      <protection hidden="1"/>
    </xf>
    <xf numFmtId="4" fontId="6" fillId="0" borderId="17" xfId="0" applyNumberFormat="1" applyFont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6" fillId="22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3" fontId="9" fillId="24" borderId="18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Border="1" applyAlignment="1" applyProtection="1">
      <alignment/>
      <protection hidden="1"/>
    </xf>
    <xf numFmtId="4" fontId="6" fillId="0" borderId="20" xfId="0" applyNumberFormat="1" applyFont="1" applyBorder="1" applyAlignment="1" applyProtection="1">
      <alignment/>
      <protection hidden="1"/>
    </xf>
    <xf numFmtId="2" fontId="6" fillId="0" borderId="19" xfId="0" applyNumberFormat="1" applyFont="1" applyBorder="1" applyAlignment="1" applyProtection="1">
      <alignment/>
      <protection hidden="1"/>
    </xf>
    <xf numFmtId="4" fontId="9" fillId="24" borderId="10" xfId="0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21" xfId="0" applyNumberFormat="1" applyFont="1" applyFill="1" applyBorder="1" applyAlignment="1" applyProtection="1">
      <alignment/>
      <protection hidden="1"/>
    </xf>
    <xf numFmtId="4" fontId="9" fillId="24" borderId="2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0</xdr:row>
      <xdr:rowOff>28575</xdr:rowOff>
    </xdr:from>
    <xdr:to>
      <xdr:col>4</xdr:col>
      <xdr:colOff>314325</xdr:colOff>
      <xdr:row>2</xdr:row>
      <xdr:rowOff>161925</xdr:rowOff>
    </xdr:to>
    <xdr:pic>
      <xdr:nvPicPr>
        <xdr:cNvPr id="1" name="Picture 2" descr="anua__cmyk_positi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8575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21</xdr:row>
      <xdr:rowOff>95250</xdr:rowOff>
    </xdr:from>
    <xdr:to>
      <xdr:col>6</xdr:col>
      <xdr:colOff>685800</xdr:colOff>
      <xdr:row>34</xdr:row>
      <xdr:rowOff>0</xdr:rowOff>
    </xdr:to>
    <xdr:pic>
      <xdr:nvPicPr>
        <xdr:cNvPr id="2" name="Picture 11" descr="PlatinumWit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552825"/>
          <a:ext cx="26098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0</xdr:row>
      <xdr:rowOff>28575</xdr:rowOff>
    </xdr:from>
    <xdr:to>
      <xdr:col>4</xdr:col>
      <xdr:colOff>314325</xdr:colOff>
      <xdr:row>2</xdr:row>
      <xdr:rowOff>161925</xdr:rowOff>
    </xdr:to>
    <xdr:pic>
      <xdr:nvPicPr>
        <xdr:cNvPr id="1" name="Picture 2" descr="anua__cmyk_positi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8575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21</xdr:row>
      <xdr:rowOff>95250</xdr:rowOff>
    </xdr:from>
    <xdr:to>
      <xdr:col>6</xdr:col>
      <xdr:colOff>685800</xdr:colOff>
      <xdr:row>34</xdr:row>
      <xdr:rowOff>0</xdr:rowOff>
    </xdr:to>
    <xdr:pic>
      <xdr:nvPicPr>
        <xdr:cNvPr id="2" name="Picture 11" descr="PlatinumWit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552825"/>
          <a:ext cx="26098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"/>
    </sheetView>
  </sheetViews>
  <sheetFormatPr defaultColWidth="9.00390625" defaultRowHeight="14.25"/>
  <cols>
    <col min="1" max="7" width="16.125" style="0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4.25">
      <c r="A3" s="74"/>
      <c r="B3" s="74"/>
      <c r="C3" s="74"/>
      <c r="D3" s="74"/>
      <c r="E3" s="74"/>
      <c r="F3" s="74"/>
      <c r="G3" s="74"/>
    </row>
    <row r="4" spans="1:7" ht="14.25">
      <c r="A4" s="75"/>
      <c r="B4" s="75"/>
      <c r="C4" s="75"/>
      <c r="D4" s="75"/>
      <c r="E4" s="75"/>
      <c r="F4" s="75"/>
      <c r="G4" s="75"/>
    </row>
    <row r="5" spans="1:7" ht="23.25">
      <c r="A5" s="76" t="s">
        <v>36</v>
      </c>
      <c r="B5" s="77"/>
      <c r="C5" s="77"/>
      <c r="D5" s="77"/>
      <c r="E5" s="77"/>
      <c r="F5" s="77"/>
      <c r="G5" s="78"/>
    </row>
    <row r="6" spans="1:7" s="1" customFormat="1" ht="12" customHeight="1">
      <c r="A6" s="79"/>
      <c r="B6" s="79"/>
      <c r="C6" s="79"/>
      <c r="D6" s="79"/>
      <c r="E6" s="79"/>
      <c r="F6" s="79"/>
      <c r="G6" s="79"/>
    </row>
    <row r="7" spans="1:7" s="2" customFormat="1" ht="12" customHeight="1">
      <c r="A7" s="81" t="s">
        <v>22</v>
      </c>
      <c r="B7" s="81"/>
      <c r="C7" s="81"/>
      <c r="D7" s="81"/>
      <c r="E7" s="81"/>
      <c r="F7" s="81"/>
      <c r="G7" s="81"/>
    </row>
    <row r="8" spans="1:7" s="2" customFormat="1" ht="12" customHeight="1">
      <c r="A8" s="80"/>
      <c r="B8" s="80"/>
      <c r="C8" s="80"/>
      <c r="D8" s="80"/>
      <c r="E8" s="80"/>
      <c r="F8" s="80"/>
      <c r="G8" s="80"/>
    </row>
    <row r="9" spans="1:7" s="4" customFormat="1" ht="12" customHeight="1">
      <c r="A9" s="3" t="s">
        <v>24</v>
      </c>
      <c r="B9" s="3" t="s">
        <v>25</v>
      </c>
      <c r="C9" s="3" t="s">
        <v>16</v>
      </c>
      <c r="D9" s="3" t="s">
        <v>0</v>
      </c>
      <c r="E9" s="3" t="s">
        <v>1</v>
      </c>
      <c r="F9" s="3" t="s">
        <v>17</v>
      </c>
      <c r="G9" s="3" t="s">
        <v>18</v>
      </c>
    </row>
    <row r="10" spans="1:7" s="2" customFormat="1" ht="12" customHeight="1">
      <c r="A10" s="5">
        <v>4</v>
      </c>
      <c r="B10" s="5">
        <v>75</v>
      </c>
      <c r="C10" s="58">
        <v>0.2</v>
      </c>
      <c r="D10" s="6">
        <v>24</v>
      </c>
      <c r="E10" s="7">
        <v>7</v>
      </c>
      <c r="F10" s="59">
        <v>0.06</v>
      </c>
      <c r="G10" s="60">
        <v>2.2</v>
      </c>
    </row>
    <row r="11" spans="1:11" s="2" customFormat="1" ht="12" customHeight="1">
      <c r="A11" s="8"/>
      <c r="B11" s="9"/>
      <c r="C11" s="9"/>
      <c r="D11" s="9"/>
      <c r="E11" s="10"/>
      <c r="H11" s="11"/>
      <c r="I11" s="11"/>
      <c r="J11" s="11"/>
      <c r="K11" s="11"/>
    </row>
    <row r="12" spans="1:11" s="2" customFormat="1" ht="12" customHeight="1">
      <c r="A12" s="63" t="s">
        <v>2</v>
      </c>
      <c r="B12" s="71" t="s">
        <v>19</v>
      </c>
      <c r="C12" s="54">
        <v>300</v>
      </c>
      <c r="D12" s="32" t="s">
        <v>3</v>
      </c>
      <c r="E12" s="27"/>
      <c r="H12" s="11"/>
      <c r="I12" s="14"/>
      <c r="J12" s="14"/>
      <c r="K12" s="11"/>
    </row>
    <row r="13" spans="1:11" s="2" customFormat="1" ht="12" customHeight="1">
      <c r="A13" s="68"/>
      <c r="B13" s="72"/>
      <c r="C13" s="55">
        <f>(C14*1000000)/(C20*8.34)</f>
        <v>319.744204636291</v>
      </c>
      <c r="D13" s="33" t="s">
        <v>3</v>
      </c>
      <c r="E13" s="27">
        <f>C12</f>
        <v>300</v>
      </c>
      <c r="H13" s="11"/>
      <c r="I13" s="14"/>
      <c r="J13" s="14"/>
      <c r="K13" s="11"/>
    </row>
    <row r="14" spans="1:11" s="2" customFormat="1" ht="12" customHeight="1">
      <c r="A14" s="68"/>
      <c r="B14" s="72"/>
      <c r="C14" s="56">
        <f>MAX((((A10*E10)/7)*C10)*(D10/24),E14)</f>
        <v>0.8</v>
      </c>
      <c r="D14" s="33" t="s">
        <v>4</v>
      </c>
      <c r="E14" s="28">
        <f>((C20*E13)*8.34)/1000000</f>
        <v>0.7506</v>
      </c>
      <c r="H14" s="11"/>
      <c r="I14" s="14"/>
      <c r="J14" s="14"/>
      <c r="K14" s="11"/>
    </row>
    <row r="15" spans="1:11" s="2" customFormat="1" ht="12" customHeight="1">
      <c r="A15" s="68"/>
      <c r="B15" s="73"/>
      <c r="C15" s="57">
        <f>FLOOR(C14/((A10*E10)/7),0.01)</f>
        <v>0.2</v>
      </c>
      <c r="D15" s="34" t="s">
        <v>5</v>
      </c>
      <c r="E15" s="29">
        <f>E14/((A10*E10)/7)</f>
        <v>0.18765</v>
      </c>
      <c r="F15"/>
      <c r="G15"/>
      <c r="H15" s="11"/>
      <c r="I15" s="14"/>
      <c r="J15" s="14"/>
      <c r="K15" s="11"/>
    </row>
    <row r="16" spans="1:11" s="2" customFormat="1" ht="12" customHeight="1">
      <c r="A16" s="68"/>
      <c r="B16" s="69" t="s">
        <v>21</v>
      </c>
      <c r="C16" s="61">
        <v>30</v>
      </c>
      <c r="D16" s="32" t="s">
        <v>3</v>
      </c>
      <c r="E16" s="22"/>
      <c r="F16"/>
      <c r="G16"/>
      <c r="H16" s="11"/>
      <c r="I16" s="14"/>
      <c r="J16" s="14"/>
      <c r="K16" s="11"/>
    </row>
    <row r="17" spans="1:11" s="2" customFormat="1" ht="12" customHeight="1">
      <c r="A17" s="64"/>
      <c r="B17" s="70"/>
      <c r="C17" s="35">
        <f>((C20*C16)*8.34)/1000000</f>
        <v>0.07506</v>
      </c>
      <c r="D17" s="34" t="s">
        <v>4</v>
      </c>
      <c r="E17" s="22"/>
      <c r="F17"/>
      <c r="G17"/>
      <c r="H17" s="11"/>
      <c r="I17" s="14"/>
      <c r="J17" s="14"/>
      <c r="K17" s="11"/>
    </row>
    <row r="18" spans="1:11" s="2" customFormat="1" ht="12" customHeight="1">
      <c r="A18" s="15"/>
      <c r="B18" s="16"/>
      <c r="C18" s="36"/>
      <c r="D18" s="36"/>
      <c r="E18" s="22"/>
      <c r="F18"/>
      <c r="G18"/>
      <c r="H18" s="11"/>
      <c r="I18" s="14"/>
      <c r="J18" s="14"/>
      <c r="K18" s="11"/>
    </row>
    <row r="19" spans="1:11" s="2" customFormat="1" ht="12" customHeight="1">
      <c r="A19" s="63" t="s">
        <v>6</v>
      </c>
      <c r="B19" s="69" t="s">
        <v>7</v>
      </c>
      <c r="C19" s="37">
        <f>(A10*B10)*E10</f>
        <v>2100</v>
      </c>
      <c r="D19" s="32" t="s">
        <v>8</v>
      </c>
      <c r="E19" s="21"/>
      <c r="F19"/>
      <c r="G19"/>
      <c r="H19" s="11"/>
      <c r="I19" s="14"/>
      <c r="J19" s="14"/>
      <c r="K19" s="11"/>
    </row>
    <row r="20" spans="1:11" s="2" customFormat="1" ht="12" customHeight="1">
      <c r="A20" s="64"/>
      <c r="B20" s="70"/>
      <c r="C20" s="38">
        <f>C19/7</f>
        <v>300</v>
      </c>
      <c r="D20" s="39" t="s">
        <v>9</v>
      </c>
      <c r="E20" s="21"/>
      <c r="F20"/>
      <c r="G20"/>
      <c r="H20" s="11"/>
      <c r="I20" s="14"/>
      <c r="J20" s="14"/>
      <c r="K20" s="11"/>
    </row>
    <row r="21" spans="1:7" s="2" customFormat="1" ht="12" customHeight="1">
      <c r="A21" s="23"/>
      <c r="B21" s="24"/>
      <c r="C21" s="40"/>
      <c r="D21" s="40"/>
      <c r="E21" s="21"/>
      <c r="F21"/>
      <c r="G21"/>
    </row>
    <row r="22" spans="1:7" s="2" customFormat="1" ht="12" customHeight="1">
      <c r="A22" s="63" t="s">
        <v>10</v>
      </c>
      <c r="B22" s="12" t="s">
        <v>20</v>
      </c>
      <c r="C22" s="41">
        <f>(C14-C17)*G10</f>
        <v>1.5948680000000002</v>
      </c>
      <c r="D22" s="42" t="s">
        <v>11</v>
      </c>
      <c r="E22" s="21"/>
      <c r="F22"/>
      <c r="G22"/>
    </row>
    <row r="23" spans="1:7" s="2" customFormat="1" ht="12" customHeight="1">
      <c r="A23" s="64"/>
      <c r="B23" s="13" t="s">
        <v>12</v>
      </c>
      <c r="C23" s="43">
        <f>(C22/1440)/(0.0173*F10)</f>
        <v>1.0670011774780563</v>
      </c>
      <c r="D23" s="39" t="s">
        <v>13</v>
      </c>
      <c r="E23" s="21"/>
      <c r="F23"/>
      <c r="G23"/>
    </row>
    <row r="24" spans="1:7" s="2" customFormat="1" ht="12" customHeight="1">
      <c r="A24" s="30"/>
      <c r="B24" s="31"/>
      <c r="C24" s="44"/>
      <c r="D24" s="45"/>
      <c r="E24" s="21"/>
      <c r="F24"/>
      <c r="G24"/>
    </row>
    <row r="25" spans="1:7" s="2" customFormat="1" ht="15">
      <c r="A25" s="63" t="s">
        <v>30</v>
      </c>
      <c r="B25" s="12" t="s">
        <v>31</v>
      </c>
      <c r="C25" s="62">
        <v>4</v>
      </c>
      <c r="D25" s="42" t="s">
        <v>32</v>
      </c>
      <c r="E25" s="21"/>
      <c r="F25"/>
      <c r="G25"/>
    </row>
    <row r="26" spans="1:7" s="2" customFormat="1" ht="15">
      <c r="A26" s="68"/>
      <c r="B26" s="25" t="s">
        <v>26</v>
      </c>
      <c r="C26" s="46">
        <v>200</v>
      </c>
      <c r="D26" s="47" t="s">
        <v>28</v>
      </c>
      <c r="E26" s="21"/>
      <c r="F26"/>
      <c r="G26"/>
    </row>
    <row r="27" spans="1:7" s="2" customFormat="1" ht="15">
      <c r="A27" s="64"/>
      <c r="B27" s="13" t="s">
        <v>27</v>
      </c>
      <c r="C27" s="48">
        <f>((((C14-C17)*453.5924)/C25)/C26)</f>
        <v>0.41103409307</v>
      </c>
      <c r="D27" s="39" t="s">
        <v>29</v>
      </c>
      <c r="E27" s="21"/>
      <c r="F27"/>
      <c r="G27"/>
    </row>
    <row r="28" spans="1:7" s="2" customFormat="1" ht="12" customHeight="1">
      <c r="A28" s="17"/>
      <c r="B28" s="18"/>
      <c r="C28" s="19"/>
      <c r="D28" s="20"/>
      <c r="E28" s="21"/>
      <c r="F28"/>
      <c r="G28"/>
    </row>
    <row r="29" spans="1:7" s="2" customFormat="1" ht="12" customHeight="1">
      <c r="A29" s="65" t="s">
        <v>14</v>
      </c>
      <c r="B29" s="66"/>
      <c r="C29" s="66"/>
      <c r="D29" s="67"/>
      <c r="E29" s="14"/>
      <c r="F29"/>
      <c r="G29"/>
    </row>
    <row r="30" spans="1:7" s="2" customFormat="1" ht="60">
      <c r="A30" s="49" t="s">
        <v>15</v>
      </c>
      <c r="B30" s="49" t="s">
        <v>34</v>
      </c>
      <c r="C30" s="3" t="s">
        <v>23</v>
      </c>
      <c r="D30" s="49" t="s">
        <v>33</v>
      </c>
      <c r="F30"/>
      <c r="G30"/>
    </row>
    <row r="31" spans="1:7" s="2" customFormat="1" ht="12" customHeight="1">
      <c r="A31" s="50">
        <v>6</v>
      </c>
      <c r="B31" s="51">
        <f>CEILING((MAX((C20/300),(C14/0.8),(CEILING((C23/C31),0.25)),(C27/D31))),1)</f>
        <v>1</v>
      </c>
      <c r="C31" s="52">
        <v>2.1</v>
      </c>
      <c r="D31" s="53">
        <v>0.6</v>
      </c>
      <c r="F31"/>
      <c r="G31"/>
    </row>
    <row r="32" spans="1:7" s="2" customFormat="1" ht="12" customHeight="1">
      <c r="A32" s="50">
        <v>8</v>
      </c>
      <c r="B32" s="51">
        <f>CEILING((MAX((C20/375),(C14/1),(CEILING((C23/C32),0.25)),(C27/D32))),1)</f>
        <v>1</v>
      </c>
      <c r="C32" s="52">
        <v>2.8</v>
      </c>
      <c r="D32" s="53">
        <v>0.8</v>
      </c>
      <c r="F32"/>
      <c r="G32"/>
    </row>
    <row r="33" spans="1:7" s="2" customFormat="1" ht="12" customHeight="1">
      <c r="A33" s="50">
        <v>10</v>
      </c>
      <c r="B33" s="51">
        <f>CEILING((MAX((C20/525),(C14/1.4),(CEILING((C23/C33),0.25)),(C27/D33))),1)</f>
        <v>1</v>
      </c>
      <c r="C33" s="52">
        <v>3.5</v>
      </c>
      <c r="D33" s="53">
        <v>1</v>
      </c>
      <c r="F33"/>
      <c r="G33"/>
    </row>
    <row r="34" spans="1:7" s="2" customFormat="1" ht="12" customHeight="1">
      <c r="A34" s="50">
        <v>12</v>
      </c>
      <c r="B34" s="51">
        <f>CEILING((MAX((C20/600),(C14/1.6),(CEILING((C23/C34),0.25)),(C27/D34))),1)</f>
        <v>1</v>
      </c>
      <c r="C34" s="52">
        <v>4.2</v>
      </c>
      <c r="D34" s="53">
        <v>1.2</v>
      </c>
      <c r="F34"/>
      <c r="G34"/>
    </row>
    <row r="35" ht="14.25">
      <c r="D35" s="26"/>
    </row>
  </sheetData>
  <sheetProtection password="CAAB" sheet="1" objects="1" scenarios="1"/>
  <mergeCells count="14">
    <mergeCell ref="A1:G3"/>
    <mergeCell ref="A19:A20"/>
    <mergeCell ref="B19:B20"/>
    <mergeCell ref="A4:G4"/>
    <mergeCell ref="A5:G5"/>
    <mergeCell ref="A6:G6"/>
    <mergeCell ref="A8:G8"/>
    <mergeCell ref="A7:G7"/>
    <mergeCell ref="A22:A23"/>
    <mergeCell ref="A29:D29"/>
    <mergeCell ref="A25:A27"/>
    <mergeCell ref="A12:A17"/>
    <mergeCell ref="B16:B17"/>
    <mergeCell ref="B12:B15"/>
  </mergeCells>
  <printOptions/>
  <pageMargins left="0.67" right="0.67" top="0.5" bottom="0.5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:G3"/>
    </sheetView>
  </sheetViews>
  <sheetFormatPr defaultColWidth="9.00390625" defaultRowHeight="14.25"/>
  <cols>
    <col min="1" max="7" width="16.125" style="0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4.25">
      <c r="A3" s="74"/>
      <c r="B3" s="74"/>
      <c r="C3" s="74"/>
      <c r="D3" s="74"/>
      <c r="E3" s="74"/>
      <c r="F3" s="74"/>
      <c r="G3" s="74"/>
    </row>
    <row r="4" spans="1:7" ht="14.25">
      <c r="A4" s="75"/>
      <c r="B4" s="75"/>
      <c r="C4" s="75"/>
      <c r="D4" s="75"/>
      <c r="E4" s="75"/>
      <c r="F4" s="75"/>
      <c r="G4" s="75"/>
    </row>
    <row r="5" spans="1:7" ht="23.25">
      <c r="A5" s="76" t="s">
        <v>35</v>
      </c>
      <c r="B5" s="77"/>
      <c r="C5" s="77"/>
      <c r="D5" s="77"/>
      <c r="E5" s="77"/>
      <c r="F5" s="77"/>
      <c r="G5" s="78"/>
    </row>
    <row r="6" spans="1:7" s="1" customFormat="1" ht="12" customHeight="1">
      <c r="A6" s="79"/>
      <c r="B6" s="79"/>
      <c r="C6" s="79"/>
      <c r="D6" s="79"/>
      <c r="E6" s="79"/>
      <c r="F6" s="79"/>
      <c r="G6" s="79"/>
    </row>
    <row r="7" spans="1:7" s="2" customFormat="1" ht="12" customHeight="1">
      <c r="A7" s="81" t="s">
        <v>22</v>
      </c>
      <c r="B7" s="81"/>
      <c r="C7" s="81"/>
      <c r="D7" s="81"/>
      <c r="E7" s="81"/>
      <c r="F7" s="81"/>
      <c r="G7" s="81"/>
    </row>
    <row r="8" spans="1:7" s="2" customFormat="1" ht="12" customHeight="1">
      <c r="A8" s="80"/>
      <c r="B8" s="80"/>
      <c r="C8" s="80"/>
      <c r="D8" s="80"/>
      <c r="E8" s="80"/>
      <c r="F8" s="80"/>
      <c r="G8" s="80"/>
    </row>
    <row r="9" spans="1:7" s="4" customFormat="1" ht="12" customHeight="1">
      <c r="A9" s="3" t="s">
        <v>24</v>
      </c>
      <c r="B9" s="3" t="s">
        <v>25</v>
      </c>
      <c r="C9" s="3" t="s">
        <v>16</v>
      </c>
      <c r="D9" s="3" t="s">
        <v>0</v>
      </c>
      <c r="E9" s="3" t="s">
        <v>1</v>
      </c>
      <c r="F9" s="3" t="s">
        <v>17</v>
      </c>
      <c r="G9" s="3" t="s">
        <v>18</v>
      </c>
    </row>
    <row r="10" spans="1:7" s="2" customFormat="1" ht="12" customHeight="1">
      <c r="A10" s="5">
        <v>6</v>
      </c>
      <c r="B10" s="5">
        <v>75</v>
      </c>
      <c r="C10" s="58">
        <v>0.17</v>
      </c>
      <c r="D10" s="6">
        <v>24</v>
      </c>
      <c r="E10" s="7">
        <v>7</v>
      </c>
      <c r="F10" s="59">
        <v>0.06</v>
      </c>
      <c r="G10" s="60">
        <v>2.2</v>
      </c>
    </row>
    <row r="11" spans="1:11" s="2" customFormat="1" ht="12" customHeight="1">
      <c r="A11" s="8"/>
      <c r="B11" s="9"/>
      <c r="C11" s="9"/>
      <c r="D11" s="9"/>
      <c r="E11" s="10"/>
      <c r="H11" s="11"/>
      <c r="I11" s="11"/>
      <c r="J11" s="11"/>
      <c r="K11" s="11"/>
    </row>
    <row r="12" spans="1:11" s="2" customFormat="1" ht="12" customHeight="1">
      <c r="A12" s="63" t="s">
        <v>2</v>
      </c>
      <c r="B12" s="71" t="s">
        <v>19</v>
      </c>
      <c r="C12" s="54">
        <v>300</v>
      </c>
      <c r="D12" s="32" t="s">
        <v>3</v>
      </c>
      <c r="E12" s="27"/>
      <c r="H12" s="11"/>
      <c r="I12" s="14"/>
      <c r="J12" s="14"/>
      <c r="K12" s="11"/>
    </row>
    <row r="13" spans="1:11" s="2" customFormat="1" ht="12" customHeight="1">
      <c r="A13" s="68"/>
      <c r="B13" s="72"/>
      <c r="C13" s="55">
        <f>(C14*1000000)/(C20*8.34)</f>
        <v>300</v>
      </c>
      <c r="D13" s="33" t="s">
        <v>3</v>
      </c>
      <c r="E13" s="27">
        <f>C12</f>
        <v>300</v>
      </c>
      <c r="H13" s="11"/>
      <c r="I13" s="14"/>
      <c r="J13" s="14"/>
      <c r="K13" s="11"/>
    </row>
    <row r="14" spans="1:11" s="2" customFormat="1" ht="12" customHeight="1">
      <c r="A14" s="68"/>
      <c r="B14" s="72"/>
      <c r="C14" s="56">
        <f>MAX((((A10*E10)/7)*C10)*(D10/24),E14)</f>
        <v>1.1259</v>
      </c>
      <c r="D14" s="33" t="s">
        <v>4</v>
      </c>
      <c r="E14" s="28">
        <f>((C20*E13)*8.34)/1000000</f>
        <v>1.1259</v>
      </c>
      <c r="H14" s="11"/>
      <c r="I14" s="14"/>
      <c r="J14" s="14"/>
      <c r="K14" s="11"/>
    </row>
    <row r="15" spans="1:11" s="2" customFormat="1" ht="12" customHeight="1">
      <c r="A15" s="68"/>
      <c r="B15" s="73"/>
      <c r="C15" s="57">
        <f>FLOOR(C14/((A10*E10)/7),0.01)</f>
        <v>0.18</v>
      </c>
      <c r="D15" s="34" t="s">
        <v>5</v>
      </c>
      <c r="E15" s="29">
        <f>E14/((A10*E10)/7)</f>
        <v>0.18764999999999998</v>
      </c>
      <c r="F15"/>
      <c r="G15"/>
      <c r="H15" s="11"/>
      <c r="I15" s="14"/>
      <c r="J15" s="14"/>
      <c r="K15" s="11"/>
    </row>
    <row r="16" spans="1:11" s="2" customFormat="1" ht="12" customHeight="1">
      <c r="A16" s="68"/>
      <c r="B16" s="69" t="s">
        <v>21</v>
      </c>
      <c r="C16" s="61">
        <v>30</v>
      </c>
      <c r="D16" s="32" t="s">
        <v>3</v>
      </c>
      <c r="E16" s="22"/>
      <c r="F16"/>
      <c r="G16"/>
      <c r="H16" s="11"/>
      <c r="I16" s="14"/>
      <c r="J16" s="14"/>
      <c r="K16" s="11"/>
    </row>
    <row r="17" spans="1:11" s="2" customFormat="1" ht="12" customHeight="1">
      <c r="A17" s="64"/>
      <c r="B17" s="70"/>
      <c r="C17" s="35">
        <f>((C20*C16)*8.34)/1000000</f>
        <v>0.11259</v>
      </c>
      <c r="D17" s="34" t="s">
        <v>4</v>
      </c>
      <c r="E17" s="22"/>
      <c r="F17"/>
      <c r="G17"/>
      <c r="H17" s="11"/>
      <c r="I17" s="14"/>
      <c r="J17" s="14"/>
      <c r="K17" s="11"/>
    </row>
    <row r="18" spans="1:11" s="2" customFormat="1" ht="12" customHeight="1">
      <c r="A18" s="15"/>
      <c r="B18" s="16"/>
      <c r="C18" s="36"/>
      <c r="D18" s="36"/>
      <c r="E18" s="22"/>
      <c r="F18"/>
      <c r="G18"/>
      <c r="H18" s="11"/>
      <c r="I18" s="14"/>
      <c r="J18" s="14"/>
      <c r="K18" s="11"/>
    </row>
    <row r="19" spans="1:11" s="2" customFormat="1" ht="12" customHeight="1">
      <c r="A19" s="63" t="s">
        <v>6</v>
      </c>
      <c r="B19" s="69" t="s">
        <v>7</v>
      </c>
      <c r="C19" s="37">
        <f>(A10*B10)*E10</f>
        <v>3150</v>
      </c>
      <c r="D19" s="32" t="s">
        <v>8</v>
      </c>
      <c r="E19" s="21"/>
      <c r="F19"/>
      <c r="G19"/>
      <c r="H19" s="11"/>
      <c r="I19" s="14"/>
      <c r="J19" s="14"/>
      <c r="K19" s="11"/>
    </row>
    <row r="20" spans="1:11" s="2" customFormat="1" ht="12" customHeight="1">
      <c r="A20" s="64"/>
      <c r="B20" s="70"/>
      <c r="C20" s="38">
        <f>C19/7</f>
        <v>450</v>
      </c>
      <c r="D20" s="39" t="s">
        <v>9</v>
      </c>
      <c r="E20" s="21"/>
      <c r="F20"/>
      <c r="G20"/>
      <c r="H20" s="11"/>
      <c r="I20" s="14"/>
      <c r="J20" s="14"/>
      <c r="K20" s="11"/>
    </row>
    <row r="21" spans="1:7" s="2" customFormat="1" ht="12" customHeight="1">
      <c r="A21" s="23"/>
      <c r="B21" s="24"/>
      <c r="C21" s="40"/>
      <c r="D21" s="40"/>
      <c r="E21" s="21"/>
      <c r="F21"/>
      <c r="G21"/>
    </row>
    <row r="22" spans="1:7" s="2" customFormat="1" ht="12" customHeight="1">
      <c r="A22" s="63" t="s">
        <v>10</v>
      </c>
      <c r="B22" s="12" t="s">
        <v>20</v>
      </c>
      <c r="C22" s="41">
        <f>(C14-C17)*G10</f>
        <v>2.229282</v>
      </c>
      <c r="D22" s="42" t="s">
        <v>11</v>
      </c>
      <c r="E22" s="21"/>
      <c r="F22"/>
      <c r="G22"/>
    </row>
    <row r="23" spans="1:7" s="2" customFormat="1" ht="12" customHeight="1">
      <c r="A23" s="64"/>
      <c r="B23" s="13" t="s">
        <v>12</v>
      </c>
      <c r="C23" s="43">
        <f>(C22/1440)/(0.0173*F10)</f>
        <v>1.4914378612716765</v>
      </c>
      <c r="D23" s="39" t="s">
        <v>13</v>
      </c>
      <c r="E23" s="21"/>
      <c r="F23"/>
      <c r="G23"/>
    </row>
    <row r="24" spans="1:7" s="2" customFormat="1" ht="12" customHeight="1">
      <c r="A24" s="30"/>
      <c r="B24" s="31"/>
      <c r="C24" s="44"/>
      <c r="D24" s="45"/>
      <c r="E24" s="21"/>
      <c r="F24"/>
      <c r="G24"/>
    </row>
    <row r="25" spans="1:7" s="2" customFormat="1" ht="15">
      <c r="A25" s="63" t="s">
        <v>30</v>
      </c>
      <c r="B25" s="12" t="s">
        <v>31</v>
      </c>
      <c r="C25" s="62">
        <v>4</v>
      </c>
      <c r="D25" s="42" t="s">
        <v>32</v>
      </c>
      <c r="E25" s="21"/>
      <c r="F25"/>
      <c r="G25"/>
    </row>
    <row r="26" spans="1:7" s="2" customFormat="1" ht="15">
      <c r="A26" s="68"/>
      <c r="B26" s="25" t="s">
        <v>26</v>
      </c>
      <c r="C26" s="46">
        <v>200</v>
      </c>
      <c r="D26" s="47" t="s">
        <v>28</v>
      </c>
      <c r="E26" s="21"/>
      <c r="F26"/>
      <c r="G26"/>
    </row>
    <row r="27" spans="1:7" s="2" customFormat="1" ht="15">
      <c r="A27" s="64"/>
      <c r="B27" s="13" t="s">
        <v>27</v>
      </c>
      <c r="C27" s="48">
        <f>((((C14-C17)*453.5924)/C25)/C26)</f>
        <v>0.574537143555</v>
      </c>
      <c r="D27" s="39" t="s">
        <v>29</v>
      </c>
      <c r="E27" s="21"/>
      <c r="F27"/>
      <c r="G27"/>
    </row>
    <row r="28" spans="1:7" s="2" customFormat="1" ht="12" customHeight="1">
      <c r="A28" s="17"/>
      <c r="B28" s="18"/>
      <c r="C28" s="19"/>
      <c r="D28" s="20"/>
      <c r="E28" s="21"/>
      <c r="F28"/>
      <c r="G28"/>
    </row>
    <row r="29" spans="1:7" s="2" customFormat="1" ht="12" customHeight="1">
      <c r="A29" s="65" t="s">
        <v>14</v>
      </c>
      <c r="B29" s="66"/>
      <c r="C29" s="66"/>
      <c r="D29" s="67"/>
      <c r="E29" s="14"/>
      <c r="F29"/>
      <c r="G29"/>
    </row>
    <row r="30" spans="1:7" s="2" customFormat="1" ht="60">
      <c r="A30" s="49" t="s">
        <v>15</v>
      </c>
      <c r="B30" s="49" t="s">
        <v>34</v>
      </c>
      <c r="C30" s="3" t="s">
        <v>23</v>
      </c>
      <c r="D30" s="49" t="s">
        <v>33</v>
      </c>
      <c r="F30"/>
      <c r="G30"/>
    </row>
    <row r="31" spans="1:7" s="2" customFormat="1" ht="12" customHeight="1">
      <c r="A31" s="50">
        <v>6</v>
      </c>
      <c r="B31" s="51">
        <f>CEILING((MAX((C20/480),(C14/1.29),(CEILING((C23/C31),0.25)),(C27/D31))),1)</f>
        <v>1</v>
      </c>
      <c r="C31" s="52">
        <v>2.1</v>
      </c>
      <c r="D31" s="53">
        <v>0.6</v>
      </c>
      <c r="F31"/>
      <c r="G31"/>
    </row>
    <row r="32" spans="1:7" s="2" customFormat="1" ht="12" customHeight="1">
      <c r="A32" s="50">
        <v>8</v>
      </c>
      <c r="B32" s="51">
        <f>CEILING((MAX((C20/640),(C14/1.72),(CEILING((C23/C32),0.25)),(C27/D32))),1)</f>
        <v>1</v>
      </c>
      <c r="C32" s="52">
        <v>2.8</v>
      </c>
      <c r="D32" s="53">
        <v>0.8</v>
      </c>
      <c r="F32"/>
      <c r="G32"/>
    </row>
    <row r="33" spans="1:7" s="2" customFormat="1" ht="12" customHeight="1">
      <c r="A33" s="50">
        <v>10</v>
      </c>
      <c r="B33" s="51">
        <f>CEILING((MAX((C20/800),(C14/2.15),(CEILING((C23/C33),0.25)),(C27/D33))),1)</f>
        <v>1</v>
      </c>
      <c r="C33" s="52">
        <v>3.5</v>
      </c>
      <c r="D33" s="53">
        <v>1</v>
      </c>
      <c r="F33"/>
      <c r="G33"/>
    </row>
    <row r="34" spans="1:7" s="2" customFormat="1" ht="12" customHeight="1">
      <c r="A34" s="50">
        <v>12</v>
      </c>
      <c r="B34" s="51">
        <f>CEILING((MAX((C20/955),(C14/2.58),(CEILING((C23/C34),0.25)),(C27/D34))),1)</f>
        <v>1</v>
      </c>
      <c r="C34" s="52">
        <v>4.2</v>
      </c>
      <c r="D34" s="53">
        <v>1.2</v>
      </c>
      <c r="F34"/>
      <c r="G34"/>
    </row>
    <row r="35" ht="14.25">
      <c r="D35" s="26"/>
    </row>
  </sheetData>
  <sheetProtection password="CAAB" sheet="1" objects="1" scenarios="1"/>
  <mergeCells count="14">
    <mergeCell ref="A22:A23"/>
    <mergeCell ref="A29:D29"/>
    <mergeCell ref="A25:A27"/>
    <mergeCell ref="A12:A17"/>
    <mergeCell ref="B16:B17"/>
    <mergeCell ref="B12:B15"/>
    <mergeCell ref="A1:G3"/>
    <mergeCell ref="A19:A20"/>
    <mergeCell ref="B19:B20"/>
    <mergeCell ref="A4:G4"/>
    <mergeCell ref="A5:G5"/>
    <mergeCell ref="A6:G6"/>
    <mergeCell ref="A8:G8"/>
    <mergeCell ref="A7:G7"/>
  </mergeCells>
  <printOptions/>
  <pageMargins left="0.67" right="0.67" top="0.5" bottom="0.5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Bishop</dc:creator>
  <cp:keywords/>
  <dc:description/>
  <cp:lastModifiedBy>Colin Bishop</cp:lastModifiedBy>
  <cp:lastPrinted>2012-05-30T19:27:47Z</cp:lastPrinted>
  <dcterms:created xsi:type="dcterms:W3CDTF">2011-12-19T16:10:58Z</dcterms:created>
  <dcterms:modified xsi:type="dcterms:W3CDTF">2012-06-05T20:21:46Z</dcterms:modified>
  <cp:category/>
  <cp:version/>
  <cp:contentType/>
  <cp:contentStatus/>
</cp:coreProperties>
</file>