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U:\Website Materials\"/>
    </mc:Choice>
  </mc:AlternateContent>
  <bookViews>
    <workbookView xWindow="0" yWindow="0" windowWidth="28800" windowHeight="12300"/>
  </bookViews>
  <sheets>
    <sheet name="Nursing Utilization" sheetId="1" r:id="rId1"/>
    <sheet name="Notes" sheetId="2" r:id="rId2"/>
  </sheets>
  <definedNames>
    <definedName name="_xlnm._FilterDatabase" localSheetId="0" hidden="1">'Nursing Utilization'!$A$1:$H$415</definedName>
    <definedName name="_xlnm.Print_Titles" localSheetId="0">'Nursing Utilization'!$1:$2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09" i="1" l="1"/>
  <c r="B310" i="1"/>
  <c r="B234" i="1"/>
  <c r="C77" i="1"/>
  <c r="B119" i="1"/>
  <c r="B77" i="1"/>
  <c r="F164" i="1" l="1"/>
  <c r="H164" i="1" s="1"/>
  <c r="G119" i="1"/>
  <c r="F119" i="1"/>
  <c r="G310" i="1"/>
  <c r="C310" i="1"/>
  <c r="F77" i="1"/>
  <c r="J409" i="1"/>
  <c r="I409" i="1"/>
  <c r="G409" i="1"/>
  <c r="F409" i="1"/>
  <c r="C409" i="1"/>
  <c r="J403" i="1"/>
  <c r="J397" i="1"/>
  <c r="I397" i="1"/>
  <c r="F398" i="1"/>
  <c r="B397" i="1"/>
  <c r="F397" i="1"/>
  <c r="J375" i="1"/>
  <c r="J328" i="1"/>
  <c r="B328" i="1"/>
  <c r="F318" i="1"/>
  <c r="F317" i="1"/>
  <c r="J310" i="1" l="1"/>
  <c r="I310" i="1"/>
  <c r="H306" i="1"/>
  <c r="G304" i="1"/>
  <c r="B304" i="1"/>
  <c r="J304" i="1"/>
  <c r="J290" i="1"/>
  <c r="I290" i="1"/>
  <c r="F265" i="1" l="1"/>
  <c r="F310" i="1" s="1"/>
  <c r="H265" i="1" l="1"/>
  <c r="J253" i="1"/>
  <c r="J243" i="1" l="1"/>
  <c r="J234" i="1"/>
  <c r="I234" i="1"/>
  <c r="G234" i="1"/>
  <c r="F234" i="1"/>
  <c r="C234" i="1"/>
  <c r="B128" i="1"/>
  <c r="B138" i="1"/>
  <c r="B157" i="1"/>
  <c r="B168" i="1"/>
  <c r="B193" i="1"/>
  <c r="B212" i="1"/>
  <c r="B228" i="1"/>
  <c r="J228" i="1"/>
  <c r="I228" i="1"/>
  <c r="I212" i="1"/>
  <c r="J212" i="1"/>
  <c r="J193" i="1"/>
  <c r="I193" i="1"/>
  <c r="G194" i="1"/>
  <c r="G193" i="1"/>
  <c r="F184" i="1"/>
  <c r="H184" i="1" s="1"/>
  <c r="F175" i="1"/>
  <c r="H175" i="1" s="1"/>
  <c r="F161" i="1"/>
  <c r="H161" i="1" s="1"/>
  <c r="H170" i="1" s="1"/>
  <c r="J168" i="1"/>
  <c r="F145" i="1"/>
  <c r="H145" i="1" s="1"/>
  <c r="I157" i="1"/>
  <c r="J157" i="1"/>
  <c r="F132" i="1"/>
  <c r="H132" i="1" s="1"/>
  <c r="J138" i="1"/>
  <c r="J128" i="1"/>
  <c r="J232" i="1" s="1"/>
  <c r="B232" i="1" l="1"/>
  <c r="F194" i="1"/>
  <c r="F193" i="1"/>
  <c r="J119" i="1"/>
  <c r="I119" i="1"/>
  <c r="H119" i="1"/>
  <c r="C119" i="1"/>
  <c r="J116" i="1"/>
  <c r="I116" i="1"/>
  <c r="J77" i="1"/>
  <c r="I77" i="1"/>
  <c r="J71" i="1"/>
  <c r="J61" i="1"/>
  <c r="J45" i="1"/>
  <c r="J34" i="1"/>
  <c r="J19" i="1"/>
  <c r="J414" i="1" l="1"/>
  <c r="C414" i="1"/>
  <c r="I414" i="1"/>
  <c r="F38" i="1"/>
  <c r="H159" i="1" l="1"/>
  <c r="F242" i="1" l="1"/>
  <c r="H242" i="1" s="1"/>
  <c r="F370" i="1"/>
  <c r="H370" i="1" s="1"/>
  <c r="F368" i="1"/>
  <c r="H368" i="1"/>
  <c r="F366" i="1"/>
  <c r="H366" i="1" s="1"/>
  <c r="F268" i="1"/>
  <c r="H268" i="1" s="1"/>
  <c r="H38" i="1" l="1"/>
  <c r="H47" i="1" s="1"/>
  <c r="B403" i="1"/>
  <c r="H405" i="1"/>
  <c r="G404" i="1"/>
  <c r="F404" i="1"/>
  <c r="G403" i="1"/>
  <c r="I403" i="1"/>
  <c r="F403" i="1"/>
  <c r="H403" i="1" s="1"/>
  <c r="F323" i="1"/>
  <c r="G329" i="1"/>
  <c r="I328" i="1"/>
  <c r="G328" i="1"/>
  <c r="H319" i="1"/>
  <c r="G318" i="1"/>
  <c r="J317" i="1"/>
  <c r="J407" i="1" s="1"/>
  <c r="I317" i="1"/>
  <c r="G317" i="1"/>
  <c r="B317" i="1"/>
  <c r="F283" i="1"/>
  <c r="G291" i="1"/>
  <c r="H323" i="1" l="1"/>
  <c r="H330" i="1" s="1"/>
  <c r="F329" i="1"/>
  <c r="F328" i="1"/>
  <c r="H317" i="1"/>
  <c r="F291" i="1"/>
  <c r="H318" i="1"/>
  <c r="H310" i="1"/>
  <c r="H328" i="1"/>
  <c r="H283" i="1"/>
  <c r="H292" i="1" s="1"/>
  <c r="H409" i="1"/>
  <c r="H404" i="1"/>
  <c r="H329" i="1" l="1"/>
  <c r="H255" i="1"/>
  <c r="H245" i="1"/>
  <c r="F244" i="1"/>
  <c r="I253" i="1"/>
  <c r="G253" i="1"/>
  <c r="F253" i="1"/>
  <c r="B243" i="1"/>
  <c r="G254" i="1"/>
  <c r="F254" i="1"/>
  <c r="B253" i="1"/>
  <c r="G244" i="1"/>
  <c r="I243" i="1"/>
  <c r="G243" i="1"/>
  <c r="G305" i="1"/>
  <c r="F305" i="1"/>
  <c r="I304" i="1"/>
  <c r="F304" i="1"/>
  <c r="H399" i="1"/>
  <c r="G398" i="1"/>
  <c r="H398" i="1" s="1"/>
  <c r="G397" i="1"/>
  <c r="H397" i="1" s="1"/>
  <c r="H377" i="1"/>
  <c r="G376" i="1"/>
  <c r="I375" i="1"/>
  <c r="I407" i="1" s="1"/>
  <c r="G408" i="1" l="1"/>
  <c r="G309" i="1"/>
  <c r="F309" i="1"/>
  <c r="H309" i="1" s="1"/>
  <c r="F376" i="1"/>
  <c r="F408" i="1" s="1"/>
  <c r="H408" i="1" s="1"/>
  <c r="H304" i="1"/>
  <c r="H305" i="1"/>
  <c r="F375" i="1"/>
  <c r="F407" i="1" s="1"/>
  <c r="F243" i="1"/>
  <c r="H253" i="1"/>
  <c r="H254" i="1"/>
  <c r="H244" i="1"/>
  <c r="H243" i="1" l="1"/>
  <c r="B375" i="1"/>
  <c r="B407" i="1" s="1"/>
  <c r="G375" i="1"/>
  <c r="G407" i="1" s="1"/>
  <c r="G169" i="1"/>
  <c r="F169" i="1"/>
  <c r="I168" i="1"/>
  <c r="G168" i="1"/>
  <c r="F168" i="1"/>
  <c r="G158" i="1"/>
  <c r="F158" i="1"/>
  <c r="H158" i="1" s="1"/>
  <c r="G157" i="1"/>
  <c r="F157" i="1"/>
  <c r="F229" i="1"/>
  <c r="G229" i="1"/>
  <c r="H229" i="1" s="1"/>
  <c r="G228" i="1"/>
  <c r="H230" i="1"/>
  <c r="F228" i="1"/>
  <c r="H214" i="1"/>
  <c r="G213" i="1"/>
  <c r="F213" i="1"/>
  <c r="G212" i="1"/>
  <c r="F212" i="1"/>
  <c r="H407" i="1" l="1"/>
  <c r="H234" i="1"/>
  <c r="H213" i="1"/>
  <c r="H376" i="1"/>
  <c r="H375" i="1"/>
  <c r="H212" i="1"/>
  <c r="H168" i="1"/>
  <c r="H169" i="1"/>
  <c r="H228" i="1"/>
  <c r="H157" i="1"/>
  <c r="F290" i="1" l="1"/>
  <c r="F308" i="1" s="1"/>
  <c r="I308" i="1" l="1"/>
  <c r="G290" i="1"/>
  <c r="J308" i="1"/>
  <c r="B290" i="1"/>
  <c r="B308" i="1" s="1"/>
  <c r="H195" i="1"/>
  <c r="H194" i="1"/>
  <c r="H140" i="1"/>
  <c r="G139" i="1"/>
  <c r="F139" i="1"/>
  <c r="I138" i="1"/>
  <c r="G138" i="1"/>
  <c r="F138" i="1"/>
  <c r="H130" i="1"/>
  <c r="G129" i="1"/>
  <c r="F129" i="1"/>
  <c r="F233" i="1" s="1"/>
  <c r="I128" i="1"/>
  <c r="I232" i="1" s="1"/>
  <c r="G128" i="1"/>
  <c r="F128" i="1"/>
  <c r="B116" i="1"/>
  <c r="H118" i="1"/>
  <c r="G117" i="1"/>
  <c r="F117" i="1"/>
  <c r="G116" i="1"/>
  <c r="F116" i="1"/>
  <c r="B414" i="1"/>
  <c r="G77" i="1"/>
  <c r="H73" i="1"/>
  <c r="G71" i="1"/>
  <c r="F71" i="1"/>
  <c r="B71" i="1"/>
  <c r="G72" i="1"/>
  <c r="F72" i="1"/>
  <c r="I71" i="1"/>
  <c r="F232" i="1" l="1"/>
  <c r="G233" i="1"/>
  <c r="G232" i="1"/>
  <c r="F414" i="1"/>
  <c r="G414" i="1"/>
  <c r="H71" i="1"/>
  <c r="H290" i="1"/>
  <c r="G308" i="1"/>
  <c r="H308" i="1" s="1"/>
  <c r="H139" i="1"/>
  <c r="H138" i="1"/>
  <c r="H233" i="1"/>
  <c r="H291" i="1"/>
  <c r="H117" i="1"/>
  <c r="H128" i="1"/>
  <c r="H129" i="1"/>
  <c r="H193" i="1"/>
  <c r="H116" i="1"/>
  <c r="H72" i="1"/>
  <c r="H77" i="1"/>
  <c r="H414" i="1" l="1"/>
  <c r="H232" i="1"/>
  <c r="F46" i="1"/>
  <c r="G62" i="1"/>
  <c r="F62" i="1"/>
  <c r="F61" i="1"/>
  <c r="B61" i="1"/>
  <c r="H63" i="1"/>
  <c r="I61" i="1"/>
  <c r="G61" i="1"/>
  <c r="H61" i="1" s="1"/>
  <c r="I45" i="1"/>
  <c r="G46" i="1"/>
  <c r="F45" i="1"/>
  <c r="B45" i="1"/>
  <c r="G45" i="1"/>
  <c r="H36" i="1"/>
  <c r="G34" i="1"/>
  <c r="G35" i="1"/>
  <c r="F35" i="1"/>
  <c r="G20" i="1"/>
  <c r="F20" i="1"/>
  <c r="F34" i="1"/>
  <c r="B34" i="1"/>
  <c r="B19" i="1"/>
  <c r="I34" i="1"/>
  <c r="H21" i="1"/>
  <c r="I19" i="1"/>
  <c r="G19" i="1"/>
  <c r="F19" i="1"/>
  <c r="H46" i="1" l="1"/>
  <c r="H35" i="1"/>
  <c r="H62" i="1"/>
  <c r="G75" i="1"/>
  <c r="G412" i="1" s="1"/>
  <c r="F76" i="1"/>
  <c r="F413" i="1" s="1"/>
  <c r="I75" i="1"/>
  <c r="I412" i="1" s="1"/>
  <c r="H34" i="1"/>
  <c r="F75" i="1"/>
  <c r="F412" i="1" s="1"/>
  <c r="J75" i="1"/>
  <c r="J412" i="1" s="1"/>
  <c r="G76" i="1"/>
  <c r="G413" i="1" s="1"/>
  <c r="B75" i="1"/>
  <c r="B412" i="1" s="1"/>
  <c r="H19" i="1"/>
  <c r="H45" i="1"/>
  <c r="H20" i="1"/>
  <c r="H75" i="1" l="1"/>
  <c r="H412" i="1"/>
  <c r="H413" i="1"/>
  <c r="H76" i="1"/>
</calcChain>
</file>

<file path=xl/comments1.xml><?xml version="1.0" encoding="utf-8"?>
<comments xmlns="http://schemas.openxmlformats.org/spreadsheetml/2006/main">
  <authors>
    <author>nicole</author>
  </authors>
  <commentList>
    <comment ref="A1" authorId="0" shapeId="0">
      <text>
        <r>
          <rPr>
            <b/>
            <sz val="9"/>
            <color indexed="81"/>
            <rFont val="Tahoma"/>
            <family val="2"/>
          </rPr>
          <t>nicole:</t>
        </r>
        <r>
          <rPr>
            <sz val="9"/>
            <color indexed="81"/>
            <rFont val="Tahoma"/>
            <family val="2"/>
          </rPr>
          <t xml:space="preserve">
Do any of these comments need to be reworded or reordered?</t>
        </r>
      </text>
    </comment>
    <comment ref="B11" authorId="0" shapeId="0">
      <text>
        <r>
          <rPr>
            <b/>
            <sz val="9"/>
            <color indexed="81"/>
            <rFont val="Tahoma"/>
            <family val="2"/>
          </rPr>
          <t>nicole:</t>
        </r>
        <r>
          <rPr>
            <sz val="9"/>
            <color indexed="81"/>
            <rFont val="Tahoma"/>
            <family val="2"/>
          </rPr>
          <t xml:space="preserve">
I feel like this doesn't make sense? Thoughts?</t>
        </r>
      </text>
    </comment>
    <comment ref="B12" authorId="0" shapeId="0">
      <text>
        <r>
          <rPr>
            <b/>
            <sz val="9"/>
            <color indexed="81"/>
            <rFont val="Tahoma"/>
            <family val="2"/>
          </rPr>
          <t>nicole:</t>
        </r>
        <r>
          <rPr>
            <sz val="9"/>
            <color indexed="81"/>
            <rFont val="Tahoma"/>
            <family val="2"/>
          </rPr>
          <t xml:space="preserve">
Need to add how this metric is calculated for region/state totals</t>
        </r>
      </text>
    </comment>
    <comment ref="B13" authorId="0" shapeId="0">
      <text>
        <r>
          <rPr>
            <b/>
            <sz val="9"/>
            <color indexed="81"/>
            <rFont val="Tahoma"/>
            <family val="2"/>
          </rPr>
          <t>nicole:</t>
        </r>
        <r>
          <rPr>
            <sz val="9"/>
            <color indexed="81"/>
            <rFont val="Tahoma"/>
            <family val="2"/>
          </rPr>
          <t xml:space="preserve">
Should we change this definition to include the formula?</t>
        </r>
      </text>
    </comment>
  </commentList>
</comments>
</file>

<file path=xl/sharedStrings.xml><?xml version="1.0" encoding="utf-8"?>
<sst xmlns="http://schemas.openxmlformats.org/spreadsheetml/2006/main" count="601" uniqueCount="418">
  <si>
    <t>Licensed Nursing Beds</t>
  </si>
  <si>
    <t>Patient Days</t>
  </si>
  <si>
    <t>Accordius Health at Harrisonburg</t>
  </si>
  <si>
    <t>Accordius Health at Waynesboro LLC</t>
  </si>
  <si>
    <t>Augusta Health - LTCU</t>
  </si>
  <si>
    <t>Autumn Care of Madison</t>
  </si>
  <si>
    <t>Bridgewater Home, Inc.</t>
  </si>
  <si>
    <t>Consulate Health Care of Woodstock</t>
  </si>
  <si>
    <t>Envoy Health Care at The Village</t>
  </si>
  <si>
    <t>Envoy Health Care of Staunton</t>
  </si>
  <si>
    <t>Envoy Health Care of Winchester</t>
  </si>
  <si>
    <t>Evergreen Health and Rehab. of Winchester</t>
  </si>
  <si>
    <t>Fredricksburg Health and Rehab</t>
  </si>
  <si>
    <t>Heritage Hall - Front Royal</t>
  </si>
  <si>
    <t>Heritage Hall - King George</t>
  </si>
  <si>
    <t>Heritage Hall - Lexington</t>
  </si>
  <si>
    <t>Kendal at Lexington (C0057)</t>
  </si>
  <si>
    <t>Kings Daughters Health &amp; Rehab</t>
  </si>
  <si>
    <t>Laurels of Charlottesville</t>
  </si>
  <si>
    <t>Martha Jefferson House</t>
  </si>
  <si>
    <t>Mountain View Nursing Home Inc.</t>
  </si>
  <si>
    <t>Our Lady of Peace</t>
  </si>
  <si>
    <t>Rose Hill Health and Rehab</t>
  </si>
  <si>
    <t>Shenandoah Valley Health and Rehab</t>
  </si>
  <si>
    <t>Shenandoah Valley Westminster-Canterbury (C0040)</t>
  </si>
  <si>
    <t>Skyline Terrace Convalescent Home</t>
  </si>
  <si>
    <t>Stafford Healthcare Group Inc</t>
  </si>
  <si>
    <t>Summit Square Retirement Community (C0047)</t>
  </si>
  <si>
    <t>Sunnyside Presbyterian Retirement Community (C0023)</t>
  </si>
  <si>
    <t>The Culpeper (C0027)</t>
  </si>
  <si>
    <t>Valley Health Warren Memorial Hospital - LTCU</t>
  </si>
  <si>
    <t>Village at Orchard Ridge, Inc. (C0083)</t>
  </si>
  <si>
    <t>VMRC, Complete Living Care</t>
  </si>
  <si>
    <t>Westminster-Canterbury of the Blue Ridge (C0036)</t>
  </si>
  <si>
    <t>Ashby Ponds (C0084)</t>
  </si>
  <si>
    <t>Birmingham Green</t>
  </si>
  <si>
    <t>Dunn Loring VA OPCO LLC</t>
  </si>
  <si>
    <t>Envoy Health Care of Woodbridge</t>
  </si>
  <si>
    <t>Envoy Health of Alexandria</t>
  </si>
  <si>
    <t>Goodwin House - Alexandria (C0008)</t>
  </si>
  <si>
    <t>Goodwin House - Baileys Crossroads (C0010)</t>
  </si>
  <si>
    <t>Heritage Hall - Leesburg</t>
  </si>
  <si>
    <t>Hermitage in Northern Virginia (C0032)</t>
  </si>
  <si>
    <t>Jefferson, The</t>
  </si>
  <si>
    <t>Lake Manassas Health and Rehab</t>
  </si>
  <si>
    <t>Manor Care of Alexandria VA, LLC</t>
  </si>
  <si>
    <t>Manor Care of Arlington VA, LLC</t>
  </si>
  <si>
    <t>Manor Care-Fair Oaks of Fairfax VA, LLC</t>
  </si>
  <si>
    <t>Powhatan Nursing Home</t>
  </si>
  <si>
    <t>Regency Care of Arlington LLC</t>
  </si>
  <si>
    <t>The Virginian (C0024)</t>
  </si>
  <si>
    <t>Westminster at Lake Ridge (C0041)</t>
  </si>
  <si>
    <t>Accordius Health at Lynchburg</t>
  </si>
  <si>
    <t>Accordius Health at Roanoke LLC</t>
  </si>
  <si>
    <t>AFS of BASTIAN</t>
  </si>
  <si>
    <t>Alleghany Health and Rehab</t>
  </si>
  <si>
    <t>Autumn Care of Altavista</t>
  </si>
  <si>
    <t>Bedford County Nursing Home</t>
  </si>
  <si>
    <t>Bedford Memorial Hospital - Oakwood</t>
  </si>
  <si>
    <t>Blue Ridge Nursing Therapy Connection</t>
  </si>
  <si>
    <t>Carrington Place at Botetourt Commons</t>
  </si>
  <si>
    <t>Carrington Place at Rural Retreat</t>
  </si>
  <si>
    <t>Carrington Place at Wytheville</t>
  </si>
  <si>
    <t>Carrington, The</t>
  </si>
  <si>
    <t>Danville Healthcare Group Inc</t>
  </si>
  <si>
    <t>Fairmont Crossing Nursing Home</t>
  </si>
  <si>
    <t>Galax Health and Rehab</t>
  </si>
  <si>
    <t>Genesis ElderCare Westwood</t>
  </si>
  <si>
    <t>Grace Healthcare of Abingdon</t>
  </si>
  <si>
    <t>Guggenheimer Nursing Home</t>
  </si>
  <si>
    <t>Heritage Hall - Big Stone Gap</t>
  </si>
  <si>
    <t>Heritage Hall - Blacksburg</t>
  </si>
  <si>
    <t>Heritage Hall - Brookneal</t>
  </si>
  <si>
    <t>Heritage Hall - Clintwood</t>
  </si>
  <si>
    <t>Heritage Hall - Grundy</t>
  </si>
  <si>
    <t>Heritage Hall - Laurel Meadows</t>
  </si>
  <si>
    <t>Heritage Hall - Rich Creek</t>
  </si>
  <si>
    <t>Heritage Hall - Tazewell</t>
  </si>
  <si>
    <t>Heritage Hall - Wise</t>
  </si>
  <si>
    <t>Hermitage Roanoke (C0034)</t>
  </si>
  <si>
    <t>King's Grant (C0022)</t>
  </si>
  <si>
    <t>Martinsville Health and Rehab</t>
  </si>
  <si>
    <t>NHC Healthcare, Bristol</t>
  </si>
  <si>
    <t>Our Lady of the Valley</t>
  </si>
  <si>
    <t>Snyder Nursing Home</t>
  </si>
  <si>
    <t>South Roanoke Nursing Home</t>
  </si>
  <si>
    <t>The Glebe, Inc. (C0064)</t>
  </si>
  <si>
    <t>Virginia Lutheran Homes, Inc.- Brandon Oaks (C0056)</t>
  </si>
  <si>
    <t>Westminster-Canterbury of Lynchburg (C0039)</t>
  </si>
  <si>
    <t>Woodhaven Nursing Home</t>
  </si>
  <si>
    <t>Woodlands Health and Rehab</t>
  </si>
  <si>
    <t>Wythe County Community Hospital - LTCU</t>
  </si>
  <si>
    <t>Accordius Health at Emporia</t>
  </si>
  <si>
    <t>Autumn Care of Mechanicsville</t>
  </si>
  <si>
    <t>Berry Hill Nursing Home</t>
  </si>
  <si>
    <t>Beth Sholom Home of Virginia</t>
  </si>
  <si>
    <t>Cedarfield (C0030)</t>
  </si>
  <si>
    <t>Childrens Hospital of Richmond</t>
  </si>
  <si>
    <t>Covenant Woods (C0060)</t>
  </si>
  <si>
    <t>Elizabeth Adam Crump Health and Rehab</t>
  </si>
  <si>
    <t>Emporia Manor</t>
  </si>
  <si>
    <t>Envoy Health Care at The Meadows</t>
  </si>
  <si>
    <t>Envoy Health Care of Lawrenceville</t>
  </si>
  <si>
    <t>Envoy Health Care of Westover Hills</t>
  </si>
  <si>
    <t>Greensville Manor</t>
  </si>
  <si>
    <t>Heritage Hall - Blackstone</t>
  </si>
  <si>
    <t>Heritage Hall - Dillwyn</t>
  </si>
  <si>
    <t>Hermitage Richmond (C0033)</t>
  </si>
  <si>
    <t>Lakewood Manor Baptist Retirement Comm (C0028)</t>
  </si>
  <si>
    <t>Laurels of Bon Air</t>
  </si>
  <si>
    <t>Laurels of University Park</t>
  </si>
  <si>
    <t>Laurels of Willow Creek</t>
  </si>
  <si>
    <t>Little Sisters of the Poor</t>
  </si>
  <si>
    <t>Lucy Corr Village (C0078)</t>
  </si>
  <si>
    <t>Manor Care-Imperial of Richmond VA, LLC</t>
  </si>
  <si>
    <t>Manor Care-Richmond</t>
  </si>
  <si>
    <t>Masonic Home of Virginia (C0012)</t>
  </si>
  <si>
    <t>River View on the Appomattox</t>
  </si>
  <si>
    <t>Sentara MeadowView Terrace</t>
  </si>
  <si>
    <t>Sentara Woodview</t>
  </si>
  <si>
    <t>The Woodland</t>
  </si>
  <si>
    <t>Tyler's Retreat at Iron Bridge</t>
  </si>
  <si>
    <t>Virginia Home, The</t>
  </si>
  <si>
    <t>Wellsprings at Amelia</t>
  </si>
  <si>
    <t>Westminster-Canterbury of Richmond (C0037)</t>
  </si>
  <si>
    <t>Accordius Health at Bay Pointe LLC</t>
  </si>
  <si>
    <t>Accordius Health at Nansemond Pointe LLC</t>
  </si>
  <si>
    <t>Accordius Health at River Pointe LLC</t>
  </si>
  <si>
    <t>Autumn Care of Chesapeake</t>
  </si>
  <si>
    <t>Autumn Care of Norfolk</t>
  </si>
  <si>
    <t>Autumn Care of Portsmouth</t>
  </si>
  <si>
    <t>Autumn Care of Suffolk</t>
  </si>
  <si>
    <t>Bayside of Poquoson Health and Rehab</t>
  </si>
  <si>
    <t>Beth Sholom Home of Eastern Virginia</t>
  </si>
  <si>
    <t>Carrington Place of Chesapeake</t>
  </si>
  <si>
    <t>Carrington Place of Tappahannock</t>
  </si>
  <si>
    <t>Consulate Health Care of Norfolk</t>
  </si>
  <si>
    <t>Consulate Healthcare at Williamsburg</t>
  </si>
  <si>
    <t>Consulate Healthcare of Windsor</t>
  </si>
  <si>
    <t>Envoy Health Care of Williamsburg</t>
  </si>
  <si>
    <t>Francis N. Sanders Nursing Home</t>
  </si>
  <si>
    <t>Harbors Edge Norfolk (C0074)</t>
  </si>
  <si>
    <t>Heritage Hall - Nassawadox</t>
  </si>
  <si>
    <t>Heritage Hall - Virginia Beach</t>
  </si>
  <si>
    <t>Lake Prince Woods (C0065)</t>
  </si>
  <si>
    <t>Lake Taylor Hospital - LTCU</t>
  </si>
  <si>
    <t>Mizpah Healthcare Group LLC</t>
  </si>
  <si>
    <t>Newport, The</t>
  </si>
  <si>
    <t>Patriots Colony (C0014)</t>
  </si>
  <si>
    <t>Portsmouth Health and Rehab</t>
  </si>
  <si>
    <t>Princess Anne Health and Rehab</t>
  </si>
  <si>
    <t>Rappahannock Westminster-Canterbury, Inc (C0016)</t>
  </si>
  <si>
    <t>Southampton Memorial Hospital - LTCU</t>
  </si>
  <si>
    <t>The Chesapeake (C0029)</t>
  </si>
  <si>
    <t>The Gardens at Warwick Forest</t>
  </si>
  <si>
    <t>The Orchard</t>
  </si>
  <si>
    <t>Westminster-Canterbury on Chesapeake Bay (C0038)</t>
  </si>
  <si>
    <t>WindsorMeade of Williamsburg (C0080)</t>
  </si>
  <si>
    <t>Woodhaven Hall at Williamsburg Landing (C0042)</t>
  </si>
  <si>
    <t>Fiscal Year End</t>
  </si>
  <si>
    <t>Days in the Reporting Period</t>
  </si>
  <si>
    <t>Available Days</t>
  </si>
  <si>
    <t>Occupancy Rate</t>
  </si>
  <si>
    <t>Comments</t>
  </si>
  <si>
    <t>Notes</t>
  </si>
  <si>
    <t>The Demographics tab contains an alphabetic listing of all facilities with useful demographic data. A single campus of a joint entity may best be identified using the Medicare Provider Number.</t>
  </si>
  <si>
    <t>The information on the Nursing Utilization tab reflects data collected for each facility's 2019 fiscal year.</t>
  </si>
  <si>
    <t>Field Definitions</t>
  </si>
  <si>
    <t>Field</t>
  </si>
  <si>
    <t>Description</t>
  </si>
  <si>
    <t>Number of nursing beds licensed by the Virginia Department of Health.</t>
  </si>
  <si>
    <t>Patient Days are calculated by summing the days each patient was housed during the reporting period by the number of patients.</t>
  </si>
  <si>
    <t>Days in the Reporting Period x Licensed Nursing Beds</t>
  </si>
  <si>
    <t>These Annual Licensure Survey Data (ALSD) spreadsheets were developed from data reported by licensed ambulatory surgical centers, freestanding facilities providing CON reviewable services, hospitals and nursing facilities for activities during fiscal years ending in 2019. Data provided was reviewed by Virginia Health Information (VHI), operating under contract to the Virginia Department of Health (VDH). VHI reviews the data and corresponds with facilities to obtain accurate, complete and reasonable data; however, VHI does not have available any independent resource to verify the accuracy or completeness of data submitted by facilities. VDH, VHI, and their respective directors and contractors cannot be held responsible for information contained herein that may change or be incorrect at publication, nor can they be held responsible for omissions of data from providers. VHI and its directors and contractors make no recommendations based on data herein concerning healthcare providers.</t>
  </si>
  <si>
    <t>Virginia Health Planning Agencies (HPA) divide the Commonwealth into five planning regions, which are further divided into 23 smaller districts. Whereas Health Planning Districts 20 and 21 have been are combined into Health Planning District 23, VHI reports them separately to enable the user to perform analyses either separately or combined.</t>
  </si>
  <si>
    <t>The number of calendar days in this facility's report. Reduced periods occur when year ends are changed.</t>
  </si>
  <si>
    <t>Displayed as a percentage to represent the rate at which the beds were utilized. 100% would be full utilization.</t>
  </si>
  <si>
    <t>Dogwood Village of Orange Co Health &amp; Rehab</t>
  </si>
  <si>
    <t>Francis Marion Manor Health &amp; Rehab</t>
  </si>
  <si>
    <t>Ridgecrest Manor Nursing and Rehab</t>
  </si>
  <si>
    <t>Lexington Court Nursing and Rehab</t>
  </si>
  <si>
    <t>Concordia Nursing &amp; Rehab- River Pointe</t>
  </si>
  <si>
    <t>Westmoreland Rehab and Healthcare</t>
  </si>
  <si>
    <t>Albemarle Health &amp; Rehab Ctr</t>
  </si>
  <si>
    <t>Augusta Nursing and Rehab Ctr</t>
  </si>
  <si>
    <t>Bowling Green Health &amp; Rehab Ctr</t>
  </si>
  <si>
    <t>Brookside Rehab and Nursing Ctr</t>
  </si>
  <si>
    <t>Carriage Hill Health &amp; Rehab Ctr</t>
  </si>
  <si>
    <t>Cedars Health &amp; Rehab Ctr</t>
  </si>
  <si>
    <t>Charlottesville Health &amp; Rehab Ctr</t>
  </si>
  <si>
    <t>Colonnades Health Care Ctr, The (C0058 Sunrise Continuing Care)</t>
  </si>
  <si>
    <t>Culpeper Health &amp; Rehab Ctr</t>
  </si>
  <si>
    <t>Fauquier Health Rehab &amp; Nursing Ctr</t>
  </si>
  <si>
    <t>Grace Health and Rehab Ctr of Greene County</t>
  </si>
  <si>
    <t>Harrisonburg Health &amp; Rehab Ctr</t>
  </si>
  <si>
    <t>Life Care Ctr of New Market</t>
  </si>
  <si>
    <t>Louisa Health &amp; Rehab Ctr</t>
  </si>
  <si>
    <t>Monroe Health and Rehab Ctr</t>
  </si>
  <si>
    <t>Shenandoah Nursing and Rehab Ctr</t>
  </si>
  <si>
    <t>Skyview Spring Rehab and Nursing Ctr</t>
  </si>
  <si>
    <t>Springs Nursing Ctr</t>
  </si>
  <si>
    <t>Woodmont Ctr</t>
  </si>
  <si>
    <t>Annandale Healthcare Ctr</t>
  </si>
  <si>
    <t>Burke Health &amp; Rehab Ctr</t>
  </si>
  <si>
    <t>Cherrydale Health &amp; Rehab Ctr</t>
  </si>
  <si>
    <t>Dulles Health and Rehab Ctr</t>
  </si>
  <si>
    <t>Fairfax Nursing Ctr, Inc</t>
  </si>
  <si>
    <t>Gainesville Health &amp; Rehab Ctr</t>
  </si>
  <si>
    <t>Iliff Nursing &amp; Rehab Ctr</t>
  </si>
  <si>
    <t>Leewood Healthcare Ctr</t>
  </si>
  <si>
    <t>Loudoun Nursing &amp; Rehab Ctr</t>
  </si>
  <si>
    <t>Manassas Health and Rehab Ctr</t>
  </si>
  <si>
    <t>Mount Vernon Nursing &amp; Rehab Ctr</t>
  </si>
  <si>
    <t>Potomac Falls Health and Rehab Ctr</t>
  </si>
  <si>
    <t>Woodbine Nursing &amp; Rehab Ctr</t>
  </si>
  <si>
    <t>Abingdon Health &amp; Rehab Ctr</t>
  </si>
  <si>
    <t>Appomattox Health &amp; Rehab Ctr</t>
  </si>
  <si>
    <t>Berkshire Health &amp; Rehab Ctr</t>
  </si>
  <si>
    <t>Brian Ctr Nursing Care - Fincastle</t>
  </si>
  <si>
    <t>Chatham Health and Rehab Ctr</t>
  </si>
  <si>
    <t>Clinch Valley Medical Ctr - LTCU</t>
  </si>
  <si>
    <t>Franklin Health &amp; Rehab Ctr</t>
  </si>
  <si>
    <t>Friendship Health and Rehab Ctr - South</t>
  </si>
  <si>
    <t>Friendship Health and Rehab Ctr, Inc.</t>
  </si>
  <si>
    <t>Grayson Nursing &amp; Rehab Ctr</t>
  </si>
  <si>
    <t>Gretna Health &amp; Rehab Ctr</t>
  </si>
  <si>
    <t>Highland Ridge Rehab Ctr</t>
  </si>
  <si>
    <t>Hillsville Rehab and Healthcare Ctr, LLC</t>
  </si>
  <si>
    <t>Lee Health and Rehab Ctr</t>
  </si>
  <si>
    <t>Liberty Ridge Health and Rehab Ctr</t>
  </si>
  <si>
    <t>Lynchburg Health &amp; Rehab Ctr</t>
  </si>
  <si>
    <t>Maple Grove Health Care Ctr</t>
  </si>
  <si>
    <t>Medical Care Ctr-Lynchburg VA, LLC</t>
  </si>
  <si>
    <t>Mountain View Regional Medical Ctr - LTCU</t>
  </si>
  <si>
    <t>Nova Health and Rehab Ctr</t>
  </si>
  <si>
    <t>Pheasant Ridge Nursing &amp; Rehab Ctr</t>
  </si>
  <si>
    <t>Piney Forest Health &amp; Rehab Ctr</t>
  </si>
  <si>
    <t>Pulaski Health &amp; Rehab Ctr</t>
  </si>
  <si>
    <t>Radford Health and Rehab Ctr</t>
  </si>
  <si>
    <t>Raleigh Court Health &amp; Rehab Ctr</t>
  </si>
  <si>
    <t>Richfield Recovery and Care Ctr</t>
  </si>
  <si>
    <t>Riverside Health &amp; Rehab Ctr</t>
  </si>
  <si>
    <t>Rocky Mount Rehab and Healthcare Ctr, LLC</t>
  </si>
  <si>
    <t>Roman Eagle Rehab and Health Care Ctr, Inc.</t>
  </si>
  <si>
    <t>Salem Health &amp; Rehab Ctr</t>
  </si>
  <si>
    <t>Skyline Nursing and Rehab Ctr</t>
  </si>
  <si>
    <t>Springtree Health &amp; Rehab Ctr</t>
  </si>
  <si>
    <t>Stanleytown Health &amp; Rehab Ctr</t>
  </si>
  <si>
    <t>Summit Health &amp; Rehab Ctr</t>
  </si>
  <si>
    <t>The Wybe &amp; Marietje Kroontje Health Care Ctr</t>
  </si>
  <si>
    <t>Valley Health Care Ctr</t>
  </si>
  <si>
    <t>Virginia Veterans Care Ctr</t>
  </si>
  <si>
    <t>Waddell Nursing and Rehab Ctr</t>
  </si>
  <si>
    <t>Ashland Nursing &amp; Rehab Ctr</t>
  </si>
  <si>
    <t>Battlefield Park Health &amp; Rehab Ctr</t>
  </si>
  <si>
    <t>Beaufont Health &amp; Rehab Ctr</t>
  </si>
  <si>
    <t>Brandermill Woods Health Care Ctr</t>
  </si>
  <si>
    <t>Chase City Health and Rehab Ctr</t>
  </si>
  <si>
    <t>Colonial Heights Health Care and Rehabilitatin Ctr</t>
  </si>
  <si>
    <t>Dinwiddie Health and Rehab Ctr</t>
  </si>
  <si>
    <t>Farmville Rehab and Healthcare Ctr, LLC</t>
  </si>
  <si>
    <t>Glenburnie Rehab and Nursing Ctr</t>
  </si>
  <si>
    <t>Hanover Health &amp; Rehab Ctr</t>
  </si>
  <si>
    <t>Henrico Health &amp; Rehab Ctr</t>
  </si>
  <si>
    <t>Hopewell Health Care Ctr</t>
  </si>
  <si>
    <t>Our Lady of Hope Health Ctr</t>
  </si>
  <si>
    <t>Parham Healthcare &amp; Rehab Ctr</t>
  </si>
  <si>
    <t>Petersburg Health &amp; Rehab Ctr</t>
  </si>
  <si>
    <t>Sitter and Barfoot Veterans Care Ctr</t>
  </si>
  <si>
    <t>VCU-CMH Hundley Ctr</t>
  </si>
  <si>
    <t>Waverly Health &amp; Rehab Ctr</t>
  </si>
  <si>
    <t>Wayland Nursing and Rehab Ctr</t>
  </si>
  <si>
    <t>Westport Rehab and Nursing Ctr</t>
  </si>
  <si>
    <t>Bayside Health &amp; Rehab Ctr</t>
  </si>
  <si>
    <t>Bon Secours DePaul Medical Ctr - TCC</t>
  </si>
  <si>
    <t>Bon Secours Maryview Nursing Care Ctr</t>
  </si>
  <si>
    <t>Bon Secours St. Francis Nursing Ctr</t>
  </si>
  <si>
    <t>Chesapeake Health &amp; Rehab Ctr</t>
  </si>
  <si>
    <t>Coliseum Convalscent and Rehab Ctr</t>
  </si>
  <si>
    <t>Courtland Health &amp; Rehab Ctr</t>
  </si>
  <si>
    <t>Harbour Pointe Healthcare and Rehab Ctr</t>
  </si>
  <si>
    <t>James River Convalescent and Rehab Ctr</t>
  </si>
  <si>
    <t>Kempsville Healthcare and Rehab Ctr</t>
  </si>
  <si>
    <t>Lancashire Convalescent and Rehab. Ctr</t>
  </si>
  <si>
    <t>Newport News Nursing and Rehab Ctr</t>
  </si>
  <si>
    <t>Norfolk Health &amp; Rehab Ctr</t>
  </si>
  <si>
    <t>Northampton Convalescent Ctr</t>
  </si>
  <si>
    <t>Our Lady of Perpetual Help Health Ctr</t>
  </si>
  <si>
    <t>Portside Health and Rehab Ctr</t>
  </si>
  <si>
    <t>Regency Health &amp; Rehab Ctr</t>
  </si>
  <si>
    <t>Riverside Convalescent Ctr - Hampton</t>
  </si>
  <si>
    <t>Riverside Convalescent Ctr - Mathews</t>
  </si>
  <si>
    <t>Riverside Convalescent Ctr - Saluda</t>
  </si>
  <si>
    <t>Riverside Convalescent Ctr - Smithfield</t>
  </si>
  <si>
    <t>Riverside Convalescent Ctr - West Point</t>
  </si>
  <si>
    <t>Sentara Nursing Ctr - Chesapeake</t>
  </si>
  <si>
    <t>Sentara Nursing Ctr - Hampton</t>
  </si>
  <si>
    <t>Sentara Nursing Ctr - Norfolk</t>
  </si>
  <si>
    <t>Sentara Nursing Ctr - Portsmouth</t>
  </si>
  <si>
    <t>Sentara Nursing Ctr - Virginia Beach</t>
  </si>
  <si>
    <t>Sentara Nursing Ctr Windermere</t>
  </si>
  <si>
    <t>Shore Health and Rehab Ctr</t>
  </si>
  <si>
    <t>Thornton Hall Nursing and Rehab Ctr</t>
  </si>
  <si>
    <t>Virginia Beach Healthcare &amp; Rehab Ctr</t>
  </si>
  <si>
    <t>Walter Reed Convalescent &amp; Rehab. Ctr</t>
  </si>
  <si>
    <t>Waterside Health &amp; Rehab Ctr</t>
  </si>
  <si>
    <t>York Convalescent Ctr</t>
  </si>
  <si>
    <t>HPR</t>
  </si>
  <si>
    <t>PD</t>
  </si>
  <si>
    <t>Days in Rept. Period</t>
  </si>
  <si>
    <t>Actual Days of Care</t>
  </si>
  <si>
    <t>Percent Occu.</t>
  </si>
  <si>
    <r>
      <t xml:space="preserve">End of FY 2019 </t>
    </r>
    <r>
      <rPr>
        <b/>
        <i/>
        <sz val="9"/>
        <color theme="1"/>
        <rFont val="Calibri"/>
        <family val="2"/>
        <scheme val="minor"/>
      </rPr>
      <t>M'caid</t>
    </r>
    <r>
      <rPr>
        <b/>
        <sz val="9"/>
        <color theme="1"/>
        <rFont val="Calibri"/>
        <family val="2"/>
        <scheme val="minor"/>
      </rPr>
      <t xml:space="preserve"> Beds per VDH</t>
    </r>
  </si>
  <si>
    <t>Available Days of Care</t>
  </si>
  <si>
    <t xml:space="preserve">  Total--PD 6                                No. NH -&gt;</t>
  </si>
  <si>
    <t>occu. up from prior year</t>
  </si>
  <si>
    <t xml:space="preserve">   NH in RFA calculation</t>
  </si>
  <si>
    <t>Median occu. NH in RFA calc. -&gt;</t>
  </si>
  <si>
    <t>excl. from RFA calc.--no M'caid beds</t>
  </si>
  <si>
    <t>part of CCRC but most beds not restricted</t>
  </si>
  <si>
    <t>part of CCRC org.--excl. fr. RFA occu. calc.</t>
  </si>
  <si>
    <r>
      <t xml:space="preserve">occu. no chg. from </t>
    </r>
    <r>
      <rPr>
        <b/>
        <i/>
        <u/>
        <sz val="8"/>
        <color rgb="FF00B050"/>
        <rFont val="Calibri"/>
        <family val="2"/>
        <scheme val="minor"/>
      </rPr>
      <t>2017</t>
    </r>
    <r>
      <rPr>
        <b/>
        <i/>
        <sz val="8"/>
        <color rgb="FF00B050"/>
        <rFont val="Calibri"/>
        <family val="2"/>
        <scheme val="minor"/>
      </rPr>
      <t>--comp. w. 2018 not poss.</t>
    </r>
  </si>
  <si>
    <t xml:space="preserve">  Total--PD 7                                No. NH -&gt;</t>
  </si>
  <si>
    <t>occu. down from prior year</t>
  </si>
  <si>
    <r>
      <t xml:space="preserve">occu. down from </t>
    </r>
    <r>
      <rPr>
        <b/>
        <i/>
        <u/>
        <sz val="8"/>
        <color rgb="FF00B050"/>
        <rFont val="Calibri"/>
        <family val="2"/>
        <scheme val="minor"/>
      </rPr>
      <t>2017</t>
    </r>
    <r>
      <rPr>
        <b/>
        <i/>
        <sz val="8"/>
        <color rgb="FF00B050"/>
        <rFont val="Calibri"/>
        <family val="2"/>
        <scheme val="minor"/>
      </rPr>
      <t>--comp. w. 2018 not poss.</t>
    </r>
  </si>
  <si>
    <r>
      <t xml:space="preserve">median down from </t>
    </r>
    <r>
      <rPr>
        <b/>
        <i/>
        <u/>
        <sz val="8"/>
        <color rgb="FF00B050"/>
        <rFont val="Calibri"/>
        <family val="2"/>
        <scheme val="minor"/>
      </rPr>
      <t>2017</t>
    </r>
  </si>
  <si>
    <t>median up from prior year</t>
  </si>
  <si>
    <t xml:space="preserve">  Total--PD 9                                No. NH -&gt;</t>
  </si>
  <si>
    <t xml:space="preserve">  Total--PD 10                                No. NH -&gt;</t>
  </si>
  <si>
    <t>median down from prior year</t>
  </si>
  <si>
    <t xml:space="preserve">  Total--PD 16                                No. NH -&gt;</t>
  </si>
  <si>
    <t>Northwestern Region (HPR I) Total -- No. NH -&gt;</t>
  </si>
  <si>
    <t xml:space="preserve">  CCRC NH units &amp; M'caid certification</t>
  </si>
  <si>
    <t xml:space="preserve">  Total--PD 8 &amp; HPR 2                             No. NH -&gt;</t>
  </si>
  <si>
    <t xml:space="preserve">  CCRC units &amp; M'caid certification</t>
  </si>
  <si>
    <t>Greenspring Village, Inc.</t>
  </si>
  <si>
    <t>Fountains at Washington House, The</t>
  </si>
  <si>
    <t>no M'caid beds--excl. fr. RFA calc.</t>
  </si>
  <si>
    <t>few M'caid beds--excl. fr. RFA calc.</t>
  </si>
  <si>
    <t xml:space="preserve">  Total--PD 1                                No. NH -&gt;</t>
  </si>
  <si>
    <t xml:space="preserve">  Total--PD 2                                No. NH -&gt;</t>
  </si>
  <si>
    <t xml:space="preserve">  Total--PD 5 (excl. Vet. Care Ctr.)       No. NH -&gt;</t>
  </si>
  <si>
    <t xml:space="preserve">  Total--PD 15 (excl. Vet. Care Ctr.)       No. NH -&gt;</t>
  </si>
  <si>
    <t>Bonview Rehab and Healthcare (was Envoy of Stratford Hills)</t>
  </si>
  <si>
    <t>excl. from all calc. per regulations</t>
  </si>
  <si>
    <t>part of CCRC organization but beds not restricted</t>
  </si>
  <si>
    <t xml:space="preserve">  Total--PD 11                               No. NH -&gt;</t>
  </si>
  <si>
    <t>occu. same as prior year</t>
  </si>
  <si>
    <t xml:space="preserve">  Total--PD 12                               No. NH -&gt;</t>
  </si>
  <si>
    <t>Southwest Reg. (HPR III) Tot. (ex. VVC) -- No. NH -&gt;</t>
  </si>
  <si>
    <t xml:space="preserve">  Total--PD 3                                No. NH -&gt;</t>
  </si>
  <si>
    <t xml:space="preserve">  Total--PD 4                                No. NH -&gt;</t>
  </si>
  <si>
    <t xml:space="preserve">  Total--PD 20                               No. NH -&gt;</t>
  </si>
  <si>
    <t>was Curis</t>
  </si>
  <si>
    <t>was Emporia Manor</t>
  </si>
  <si>
    <t xml:space="preserve"> was Sentara NC - Portsmouth</t>
  </si>
  <si>
    <t>was Sentara NC - Norfolk</t>
  </si>
  <si>
    <t>was Beacon Shores N&amp;R</t>
  </si>
  <si>
    <t>now Accordius Health at Courtland</t>
  </si>
  <si>
    <t>was Corcordia</t>
  </si>
  <si>
    <t>was Kindred, now Accordius</t>
  </si>
  <si>
    <t>dupl.</t>
  </si>
  <si>
    <t>now Accordius</t>
  </si>
  <si>
    <t>Citadel Virginia Beach, The</t>
  </si>
  <si>
    <t>now Portside H&amp;R</t>
  </si>
  <si>
    <t>now Pelican Health Norfolk</t>
  </si>
  <si>
    <t>now Greenbriar Reg. Med. Ctr.</t>
  </si>
  <si>
    <t>Seaside Health Ctr at Atlantic Shores</t>
  </si>
  <si>
    <t>was Kindred, then Concordia</t>
  </si>
  <si>
    <t>now Signature Healthcare of Norfolk</t>
  </si>
  <si>
    <t>no rept.</t>
  </si>
  <si>
    <t xml:space="preserve">  Total--PD 21                               No. NH -&gt;</t>
  </si>
  <si>
    <t xml:space="preserve">  Total--PD 19                               No. NH -&gt;</t>
  </si>
  <si>
    <t xml:space="preserve">  Total--PD 13                               No. NH -&gt;</t>
  </si>
  <si>
    <t xml:space="preserve">  Total--PD 14                               No. NH -&gt;</t>
  </si>
  <si>
    <t>was Amelia NC</t>
  </si>
  <si>
    <t>Central Reg. (HPR IV) Tot. (ex. VVC) -- No. NH -&gt;</t>
  </si>
  <si>
    <t>incr. fr. 60 eff. 4/25/19</t>
  </si>
  <si>
    <t>part of CCRC; incr. fr. 50 beds eff. 12/17/18</t>
  </si>
  <si>
    <t xml:space="preserve">  Total--PD 17                               No. NH -&gt;</t>
  </si>
  <si>
    <t xml:space="preserve">  Total--PD 18                               No. NH -&gt;</t>
  </si>
  <si>
    <t>incr. fr. 64 beds eff. 2/27/19</t>
  </si>
  <si>
    <t xml:space="preserve">  Total--PD 22                             No. NH -&gt;</t>
  </si>
  <si>
    <t>Eastern Region (HPR V) Total -- No. NH -&gt;</t>
  </si>
  <si>
    <t>Virginia Total  --  No. NH -&gt;</t>
  </si>
  <si>
    <t>Rehab Ctr at Bristol, The</t>
  </si>
  <si>
    <t>no report</t>
  </si>
  <si>
    <t>cert. eff. 5/11/19; was in PD 15 on VHI sprdsht.</t>
  </si>
  <si>
    <t>was Curis; CHOW eff.5/22/19</t>
  </si>
  <si>
    <t>bds dup.</t>
  </si>
  <si>
    <t>reported incorrect 84 beds; 92 verified from license</t>
  </si>
  <si>
    <t>reported incorrect 198; 174 verified from lic.</t>
  </si>
  <si>
    <t>part of CCRC but beds not restrict.; dup. on VHI sheet</t>
  </si>
  <si>
    <t>now Waterside H&amp;R; rept. Incor. 193 bd. vs. 197 on lic.</t>
  </si>
  <si>
    <t>reported incorrect 120 beds; 116 verified on lic.</t>
  </si>
  <si>
    <t>reported incorrect 131; 129 verified on "Big Mama"</t>
  </si>
  <si>
    <t>now Accordius Health at Greene County</t>
  </si>
  <si>
    <r>
      <t xml:space="preserve">now Dun Loring; </t>
    </r>
    <r>
      <rPr>
        <b/>
        <i/>
        <sz val="8"/>
        <color theme="1"/>
        <rFont val="Calibri"/>
        <family val="2"/>
        <scheme val="minor"/>
      </rPr>
      <t>not</t>
    </r>
    <r>
      <rPr>
        <i/>
        <sz val="8"/>
        <color theme="1"/>
        <rFont val="Calibri"/>
        <family val="2"/>
        <scheme val="minor"/>
      </rPr>
      <t xml:space="preserve"> </t>
    </r>
    <r>
      <rPr>
        <sz val="8"/>
        <color theme="1"/>
        <rFont val="Calibri"/>
        <family val="2"/>
        <scheme val="minor"/>
      </rPr>
      <t>double-counted in data</t>
    </r>
  </si>
  <si>
    <r>
      <t xml:space="preserve">was Iliff; </t>
    </r>
    <r>
      <rPr>
        <b/>
        <i/>
        <sz val="8"/>
        <color theme="1"/>
        <rFont val="Calibri"/>
        <family val="2"/>
        <scheme val="minor"/>
      </rPr>
      <t>not</t>
    </r>
    <r>
      <rPr>
        <i/>
        <sz val="8"/>
        <color theme="1"/>
        <rFont val="Calibri"/>
        <family val="2"/>
        <scheme val="minor"/>
      </rPr>
      <t xml:space="preserve"> </t>
    </r>
    <r>
      <rPr>
        <sz val="8"/>
        <color theme="1"/>
        <rFont val="Calibri"/>
        <family val="2"/>
        <scheme val="minor"/>
      </rPr>
      <t>double-counted in data</t>
    </r>
  </si>
  <si>
    <r>
      <t xml:space="preserve">Falcon's Landing (C0004) </t>
    </r>
    <r>
      <rPr>
        <i/>
        <sz val="9"/>
        <color theme="1"/>
        <rFont val="Calibri"/>
        <family val="2"/>
        <scheme val="minor"/>
      </rPr>
      <t>aka Johnson's Ctr.</t>
    </r>
  </si>
  <si>
    <r>
      <t>Sunrise Continuing Care (C0059)</t>
    </r>
    <r>
      <rPr>
        <i/>
        <sz val="9"/>
        <color theme="1"/>
        <rFont val="Calibri"/>
        <family val="2"/>
        <scheme val="minor"/>
      </rPr>
      <t xml:space="preserve"> aka Belvoir Woods</t>
    </r>
  </si>
  <si>
    <r>
      <t xml:space="preserve">Vinson Hall (C0026) </t>
    </r>
    <r>
      <rPr>
        <i/>
        <sz val="9"/>
        <color theme="1"/>
        <rFont val="Calibri"/>
        <family val="2"/>
        <scheme val="minor"/>
      </rPr>
      <t>aka Arleigh Burke Pavilion</t>
    </r>
  </si>
  <si>
    <t>added 2 SNF/NF beds + 8 SNF beds eff. 12/1/19</t>
  </si>
  <si>
    <t>lost 30 beds eff. 2/1/19</t>
  </si>
  <si>
    <t>added 12 beds eff. 6/14/19</t>
  </si>
  <si>
    <t>Brian Ctr Health &amp; Rehab. - Alleghany (Low Moor)</t>
  </si>
  <si>
    <t>added 25 beds eff. 8/9/19</t>
  </si>
  <si>
    <t>lost 25 beds eff. 9/1/19</t>
  </si>
  <si>
    <t>was Blue Ridge Nurs. Ctr.</t>
  </si>
  <si>
    <t>aka Stratford Health Ctr.</t>
  </si>
  <si>
    <t>lost 15 beds eff. 1/1/19; rptd. 194 to VHI</t>
  </si>
  <si>
    <t>aka Holly Manor NH</t>
  </si>
  <si>
    <t>rptd. incorrect 161 to VHI</t>
  </si>
  <si>
    <t>now Canterbury Rehab &amp; Healthcare</t>
  </si>
  <si>
    <t>Concordia Trans. Care and Reh. - Bay Pnt.</t>
  </si>
  <si>
    <t xml:space="preserve">Concordia Trans. Care and Reh. - Nanse. </t>
  </si>
  <si>
    <t>End of FY 2019 Lic. NH Beds per VDH</t>
  </si>
  <si>
    <r>
      <t>occu. up from prior year;</t>
    </r>
    <r>
      <rPr>
        <b/>
        <i/>
        <u/>
        <sz val="8"/>
        <color rgb="FF00B050"/>
        <rFont val="Calibri"/>
        <family val="2"/>
        <scheme val="minor"/>
      </rPr>
      <t xml:space="preserve"> but data missing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</si>
</sst>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mm/dd/yy;@"/>
    <numFmt numFmtId="165" formatCode="0.0%"/>
  </numFmts>
  <fonts count="4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name val="Calibri"/>
      <family val="2"/>
      <scheme val="minor"/>
    </font>
    <font>
      <sz val="9"/>
      <color indexed="81"/>
      <name val="Tahoma"/>
      <family val="2"/>
    </font>
    <font>
      <b/>
      <sz val="9"/>
      <color indexed="81"/>
      <name val="Tahoma"/>
      <family val="2"/>
    </font>
    <font>
      <sz val="11"/>
      <color rgb="FF000000"/>
      <name val="Calibri"/>
      <family val="2"/>
      <scheme val="minor"/>
    </font>
    <font>
      <sz val="11"/>
      <name val="Calibri"/>
      <family val="2"/>
      <scheme val="minor"/>
    </font>
    <font>
      <b/>
      <sz val="9"/>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b/>
      <sz val="9"/>
      <color rgb="FF000000"/>
      <name val="Calibri"/>
      <family val="2"/>
      <scheme val="minor"/>
    </font>
    <font>
      <b/>
      <sz val="11"/>
      <color rgb="FF000000"/>
      <name val="Calibri"/>
      <family val="2"/>
      <scheme val="minor"/>
    </font>
    <font>
      <b/>
      <i/>
      <sz val="8"/>
      <color rgb="FF00B050"/>
      <name val="Calibri"/>
      <family val="2"/>
      <scheme val="minor"/>
    </font>
    <font>
      <sz val="8"/>
      <color theme="1"/>
      <name val="Calibri"/>
      <family val="2"/>
      <scheme val="minor"/>
    </font>
    <font>
      <b/>
      <sz val="10"/>
      <color theme="1"/>
      <name val="Calibri"/>
      <family val="2"/>
      <scheme val="minor"/>
    </font>
    <font>
      <i/>
      <sz val="9"/>
      <color rgb="FF000000"/>
      <name val="Calibri"/>
      <family val="2"/>
      <scheme val="minor"/>
    </font>
    <font>
      <b/>
      <i/>
      <sz val="11"/>
      <color rgb="FF000000"/>
      <name val="Calibri"/>
      <family val="2"/>
      <scheme val="minor"/>
    </font>
    <font>
      <sz val="9"/>
      <color rgb="FF00B050"/>
      <name val="Calibri"/>
      <family val="2"/>
      <scheme val="minor"/>
    </font>
    <font>
      <i/>
      <sz val="8"/>
      <color theme="1"/>
      <name val="Calibri"/>
      <family val="2"/>
      <scheme val="minor"/>
    </font>
    <font>
      <b/>
      <i/>
      <sz val="10"/>
      <color theme="1"/>
      <name val="Calibri"/>
      <family val="2"/>
      <scheme val="minor"/>
    </font>
    <font>
      <sz val="9"/>
      <color rgb="FF000000"/>
      <name val="Calibri"/>
      <family val="2"/>
      <scheme val="minor"/>
    </font>
    <font>
      <i/>
      <sz val="9"/>
      <color rgb="FFFF0000"/>
      <name val="Calibri"/>
      <family val="2"/>
      <scheme val="minor"/>
    </font>
    <font>
      <b/>
      <sz val="8"/>
      <color theme="1"/>
      <name val="Calibri"/>
      <family val="2"/>
      <scheme val="minor"/>
    </font>
    <font>
      <b/>
      <i/>
      <u/>
      <sz val="8"/>
      <color rgb="FF00B050"/>
      <name val="Calibri"/>
      <family val="2"/>
      <scheme val="minor"/>
    </font>
    <font>
      <sz val="8"/>
      <name val="Calibri"/>
      <family val="2"/>
      <scheme val="minor"/>
    </font>
    <font>
      <b/>
      <i/>
      <sz val="9"/>
      <color rgb="FF000000"/>
      <name val="Calibri"/>
      <family val="2"/>
      <scheme val="minor"/>
    </font>
    <font>
      <sz val="9"/>
      <color rgb="FFFF0000"/>
      <name val="Calibri"/>
      <family val="2"/>
      <scheme val="minor"/>
    </font>
    <font>
      <b/>
      <sz val="8"/>
      <color rgb="FF000000"/>
      <name val="Calibri"/>
      <family val="2"/>
      <scheme val="minor"/>
    </font>
    <font>
      <i/>
      <sz val="8"/>
      <color rgb="FF000000"/>
      <name val="Calibri"/>
      <family val="2"/>
      <scheme val="minor"/>
    </font>
    <font>
      <sz val="8"/>
      <color rgb="FF000000"/>
      <name val="Calibri"/>
      <family val="2"/>
      <scheme val="minor"/>
    </font>
    <font>
      <b/>
      <i/>
      <sz val="8"/>
      <color rgb="FF000000"/>
      <name val="Calibri"/>
      <family val="2"/>
      <scheme val="minor"/>
    </font>
    <font>
      <b/>
      <i/>
      <sz val="9"/>
      <name val="Calibri"/>
      <family val="2"/>
      <scheme val="minor"/>
    </font>
    <font>
      <sz val="9"/>
      <name val="Calibri"/>
      <family val="2"/>
      <scheme val="minor"/>
    </font>
    <font>
      <b/>
      <i/>
      <sz val="11"/>
      <name val="Calibri"/>
      <family val="2"/>
      <scheme val="minor"/>
    </font>
    <font>
      <i/>
      <sz val="9"/>
      <name val="Calibri"/>
      <family val="2"/>
      <scheme val="minor"/>
    </font>
    <font>
      <b/>
      <sz val="7"/>
      <name val="Calibri"/>
      <family val="2"/>
      <scheme val="minor"/>
    </font>
    <font>
      <b/>
      <sz val="8"/>
      <name val="Calibri"/>
      <family val="2"/>
      <scheme val="minor"/>
    </font>
    <font>
      <b/>
      <i/>
      <sz val="7"/>
      <name val="Calibri"/>
      <family val="2"/>
      <scheme val="minor"/>
    </font>
    <font>
      <b/>
      <i/>
      <sz val="8"/>
      <name val="Calibri"/>
      <family val="2"/>
      <scheme val="minor"/>
    </font>
    <font>
      <b/>
      <i/>
      <sz val="9"/>
      <color rgb="FFFF0000"/>
      <name val="Calibri"/>
      <family val="2"/>
      <scheme val="minor"/>
    </font>
    <font>
      <b/>
      <i/>
      <sz val="8"/>
      <color theme="1"/>
      <name val="Calibri"/>
      <family val="2"/>
      <scheme val="minor"/>
    </font>
    <font>
      <i/>
      <sz val="9"/>
      <color theme="1"/>
      <name val="Calibri"/>
      <family val="2"/>
      <scheme val="minor"/>
    </font>
    <font>
      <b/>
      <sz val="9"/>
      <color theme="5"/>
      <name val="Calibri"/>
      <family val="2"/>
      <scheme val="minor"/>
    </font>
  </fonts>
  <fills count="6">
    <fill>
      <patternFill patternType="none"/>
    </fill>
    <fill>
      <patternFill patternType="gray125"/>
    </fill>
    <fill>
      <patternFill patternType="solid">
        <fgColor theme="4" tint="-0.499984740745262"/>
        <bgColor indexed="64"/>
      </patternFill>
    </fill>
    <fill>
      <patternFill patternType="solid">
        <fgColor theme="2"/>
        <bgColor indexed="64"/>
      </patternFill>
    </fill>
    <fill>
      <patternFill patternType="solid">
        <fgColor rgb="FFFFFF00"/>
        <bgColor indexed="64"/>
      </patternFill>
    </fill>
    <fill>
      <patternFill patternType="solid">
        <fgColor rgb="FFFFC00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rgb="FFD0D7E5"/>
      </left>
      <right/>
      <top style="hair">
        <color auto="1"/>
      </top>
      <bottom style="hair">
        <color auto="1"/>
      </bottom>
      <diagonal/>
    </border>
    <border>
      <left/>
      <right/>
      <top style="hair">
        <color auto="1"/>
      </top>
      <bottom/>
      <diagonal/>
    </border>
    <border>
      <left style="thin">
        <color indexed="64"/>
      </left>
      <right/>
      <top/>
      <bottom/>
      <diagonal/>
    </border>
    <border>
      <left style="thin">
        <color indexed="64"/>
      </left>
      <right/>
      <top style="hair">
        <color auto="1"/>
      </top>
      <bottom style="hair">
        <color auto="1"/>
      </bottom>
      <diagonal/>
    </border>
    <border>
      <left/>
      <right style="thin">
        <color indexed="64"/>
      </right>
      <top/>
      <bottom/>
      <diagonal/>
    </border>
    <border>
      <left/>
      <right style="thin">
        <color indexed="64"/>
      </right>
      <top style="hair">
        <color auto="1"/>
      </top>
      <bottom style="hair">
        <color auto="1"/>
      </bottom>
      <diagonal/>
    </border>
    <border>
      <left style="hair">
        <color indexed="64"/>
      </left>
      <right style="thin">
        <color indexed="64"/>
      </right>
      <top/>
      <bottom/>
      <diagonal/>
    </border>
    <border>
      <left style="hair">
        <color indexed="64"/>
      </left>
      <right style="thin">
        <color indexed="64"/>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bottom/>
      <diagonal/>
    </border>
  </borders>
  <cellStyleXfs count="2">
    <xf numFmtId="0" fontId="0" fillId="0" borderId="0"/>
    <xf numFmtId="9" fontId="1" fillId="0" borderId="0" applyFont="0" applyFill="0" applyBorder="0" applyAlignment="0" applyProtection="0"/>
  </cellStyleXfs>
  <cellXfs count="195">
    <xf numFmtId="0" fontId="0" fillId="0" borderId="0" xfId="0"/>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0" fillId="0" borderId="0" xfId="0" applyAlignment="1">
      <alignment vertical="center"/>
    </xf>
    <xf numFmtId="0" fontId="0" fillId="0" borderId="0" xfId="0" applyAlignment="1">
      <alignment vertical="center" wrapText="1"/>
    </xf>
    <xf numFmtId="3" fontId="3" fillId="0" borderId="1" xfId="0" applyNumberFormat="1" applyFont="1" applyBorder="1" applyAlignment="1">
      <alignment vertical="center" wrapText="1"/>
    </xf>
    <xf numFmtId="0" fontId="0" fillId="0" borderId="1" xfId="0" applyBorder="1" applyAlignment="1">
      <alignment vertical="center" wrapText="1"/>
    </xf>
    <xf numFmtId="165" fontId="3" fillId="0" borderId="1" xfId="1" applyNumberFormat="1" applyFont="1" applyFill="1" applyBorder="1" applyAlignment="1">
      <alignment vertical="center" wrapText="1"/>
    </xf>
    <xf numFmtId="0" fontId="11" fillId="0" borderId="0" xfId="0" applyFont="1" applyFill="1"/>
    <xf numFmtId="0" fontId="10" fillId="0" borderId="0" xfId="0" applyFont="1" applyFill="1" applyAlignment="1">
      <alignment horizontal="right"/>
    </xf>
    <xf numFmtId="0" fontId="10" fillId="0" borderId="0" xfId="0" applyFont="1" applyFill="1"/>
    <xf numFmtId="0" fontId="9" fillId="0" borderId="0" xfId="0" applyFont="1" applyFill="1" applyAlignment="1">
      <alignment horizontal="center" wrapText="1"/>
    </xf>
    <xf numFmtId="0" fontId="17" fillId="0" borderId="2" xfId="0" applyFont="1" applyBorder="1" applyAlignment="1"/>
    <xf numFmtId="3" fontId="18" fillId="0" borderId="2" xfId="0" applyNumberFormat="1" applyFont="1" applyFill="1" applyBorder="1" applyAlignment="1" applyProtection="1">
      <alignment horizontal="right"/>
    </xf>
    <xf numFmtId="0" fontId="22" fillId="0" borderId="2" xfId="0" applyFont="1" applyBorder="1" applyAlignment="1"/>
    <xf numFmtId="0" fontId="16" fillId="0" borderId="0" xfId="0" applyFont="1" applyFill="1"/>
    <xf numFmtId="0" fontId="15" fillId="0" borderId="2" xfId="0" applyFont="1" applyFill="1" applyBorder="1" applyAlignment="1"/>
    <xf numFmtId="3" fontId="13" fillId="0" borderId="2" xfId="0" applyNumberFormat="1" applyFont="1" applyFill="1" applyBorder="1" applyAlignment="1" applyProtection="1">
      <alignment horizontal="center"/>
    </xf>
    <xf numFmtId="3" fontId="18" fillId="0" borderId="2" xfId="0" applyNumberFormat="1" applyFont="1" applyFill="1" applyBorder="1" applyAlignment="1" applyProtection="1">
      <alignment horizontal="center"/>
    </xf>
    <xf numFmtId="0" fontId="28" fillId="0" borderId="3" xfId="0" applyFont="1" applyFill="1" applyBorder="1" applyAlignment="1" applyProtection="1">
      <alignment horizontal="left"/>
    </xf>
    <xf numFmtId="3" fontId="28" fillId="0" borderId="2" xfId="0" applyNumberFormat="1" applyFont="1" applyFill="1" applyBorder="1" applyAlignment="1" applyProtection="1">
      <alignment horizontal="right"/>
    </xf>
    <xf numFmtId="0" fontId="22" fillId="0" borderId="2" xfId="0" applyFont="1" applyBorder="1" applyAlignment="1">
      <alignment horizontal="right"/>
    </xf>
    <xf numFmtId="0" fontId="25" fillId="0" borderId="0" xfId="0" applyFont="1" applyFill="1"/>
    <xf numFmtId="0" fontId="11" fillId="4" borderId="0" xfId="0" applyFont="1" applyFill="1"/>
    <xf numFmtId="0" fontId="25" fillId="0" borderId="0" xfId="0" applyFont="1" applyFill="1" applyAlignment="1">
      <alignment horizontal="center" vertical="center"/>
    </xf>
    <xf numFmtId="3" fontId="28" fillId="0" borderId="2" xfId="0" applyNumberFormat="1" applyFont="1" applyFill="1" applyBorder="1" applyAlignment="1" applyProtection="1">
      <alignment horizontal="center"/>
    </xf>
    <xf numFmtId="0" fontId="11" fillId="0" borderId="2" xfId="0" applyFont="1" applyBorder="1"/>
    <xf numFmtId="3" fontId="11" fillId="0" borderId="2" xfId="0" applyNumberFormat="1" applyFont="1" applyBorder="1" applyAlignment="1">
      <alignment horizontal="right"/>
    </xf>
    <xf numFmtId="165" fontId="11" fillId="0" borderId="2" xfId="1" applyNumberFormat="1" applyFont="1" applyBorder="1" applyAlignment="1">
      <alignment horizontal="right"/>
    </xf>
    <xf numFmtId="3" fontId="13" fillId="0" borderId="2" xfId="0" applyNumberFormat="1" applyFont="1" applyFill="1" applyBorder="1" applyAlignment="1" applyProtection="1">
      <alignment horizontal="right"/>
    </xf>
    <xf numFmtId="0" fontId="10" fillId="0" borderId="2" xfId="0" applyFont="1" applyBorder="1" applyAlignment="1">
      <alignment wrapText="1"/>
    </xf>
    <xf numFmtId="0" fontId="35" fillId="0" borderId="0" xfId="0" applyFont="1" applyFill="1"/>
    <xf numFmtId="0" fontId="27" fillId="0" borderId="0" xfId="0" applyFont="1" applyFill="1"/>
    <xf numFmtId="0" fontId="23" fillId="0" borderId="0" xfId="0" applyFont="1" applyFill="1" applyBorder="1" applyAlignment="1" applyProtection="1"/>
    <xf numFmtId="3" fontId="13" fillId="0" borderId="0" xfId="0" applyNumberFormat="1" applyFont="1" applyFill="1" applyBorder="1" applyAlignment="1" applyProtection="1">
      <alignment horizontal="right"/>
    </xf>
    <xf numFmtId="165" fontId="18" fillId="0" borderId="0" xfId="0" applyNumberFormat="1" applyFont="1" applyFill="1" applyBorder="1" applyAlignment="1" applyProtection="1">
      <alignment horizontal="right"/>
    </xf>
    <xf numFmtId="0" fontId="17" fillId="0" borderId="0" xfId="0" applyFont="1" applyBorder="1" applyAlignment="1"/>
    <xf numFmtId="3" fontId="14" fillId="0" borderId="2" xfId="0" applyNumberFormat="1" applyFont="1" applyFill="1" applyBorder="1" applyAlignment="1" applyProtection="1">
      <alignment horizontal="right"/>
    </xf>
    <xf numFmtId="0" fontId="28" fillId="0" borderId="2" xfId="0" applyFont="1" applyFill="1" applyBorder="1" applyAlignment="1" applyProtection="1">
      <alignment horizontal="left"/>
    </xf>
    <xf numFmtId="165" fontId="18" fillId="0" borderId="2" xfId="0" applyNumberFormat="1" applyFont="1" applyFill="1" applyBorder="1" applyAlignment="1" applyProtection="1">
      <alignment horizontal="right"/>
    </xf>
    <xf numFmtId="0" fontId="9" fillId="0" borderId="3" xfId="0" applyFont="1" applyFill="1" applyBorder="1" applyAlignment="1" applyProtection="1">
      <alignment horizontal="left"/>
    </xf>
    <xf numFmtId="3" fontId="9" fillId="0" borderId="2" xfId="0" applyNumberFormat="1" applyFont="1" applyFill="1" applyBorder="1" applyAlignment="1" applyProtection="1">
      <alignment horizontal="right"/>
    </xf>
    <xf numFmtId="165" fontId="9" fillId="0" borderId="2" xfId="1" applyNumberFormat="1" applyFont="1" applyBorder="1" applyAlignment="1"/>
    <xf numFmtId="3" fontId="37" fillId="0" borderId="2" xfId="0" applyNumberFormat="1" applyFont="1" applyFill="1" applyBorder="1" applyAlignment="1" applyProtection="1">
      <alignment horizontal="right"/>
    </xf>
    <xf numFmtId="165" fontId="37" fillId="0" borderId="2" xfId="1" applyNumberFormat="1" applyFont="1" applyBorder="1" applyAlignment="1"/>
    <xf numFmtId="0" fontId="34" fillId="0" borderId="3" xfId="0" applyFont="1" applyFill="1" applyBorder="1" applyAlignment="1" applyProtection="1">
      <alignment horizontal="left"/>
    </xf>
    <xf numFmtId="165" fontId="34" fillId="0" borderId="2" xfId="1" applyNumberFormat="1" applyFont="1" applyBorder="1" applyAlignment="1"/>
    <xf numFmtId="0" fontId="10" fillId="0" borderId="0" xfId="0" applyFont="1" applyFill="1" applyAlignment="1">
      <alignment horizontal="center" vertical="center"/>
    </xf>
    <xf numFmtId="14" fontId="16" fillId="0" borderId="0" xfId="0" applyNumberFormat="1" applyFont="1" applyFill="1"/>
    <xf numFmtId="0" fontId="15" fillId="0" borderId="0" xfId="0" applyFont="1" applyFill="1" applyBorder="1" applyAlignment="1"/>
    <xf numFmtId="0" fontId="16" fillId="0" borderId="2" xfId="0" applyFont="1" applyFill="1" applyBorder="1" applyAlignment="1"/>
    <xf numFmtId="0" fontId="25" fillId="0" borderId="0" xfId="0" applyFont="1" applyFill="1" applyBorder="1" applyAlignment="1"/>
    <xf numFmtId="0" fontId="16" fillId="0" borderId="4" xfId="0" applyFont="1" applyFill="1" applyBorder="1" applyAlignment="1"/>
    <xf numFmtId="3" fontId="34" fillId="0" borderId="2" xfId="0" applyNumberFormat="1" applyFont="1" applyFill="1" applyBorder="1" applyAlignment="1" applyProtection="1">
      <alignment horizontal="center"/>
    </xf>
    <xf numFmtId="0" fontId="13" fillId="0" borderId="3" xfId="0" applyFont="1" applyFill="1" applyBorder="1" applyAlignment="1" applyProtection="1"/>
    <xf numFmtId="0" fontId="18" fillId="0" borderId="3" xfId="0" applyFont="1" applyFill="1" applyBorder="1" applyAlignment="1" applyProtection="1"/>
    <xf numFmtId="0" fontId="23" fillId="0" borderId="3" xfId="0" applyFont="1" applyFill="1" applyBorder="1" applyAlignment="1" applyProtection="1"/>
    <xf numFmtId="0" fontId="28" fillId="0" borderId="3" xfId="0" applyFont="1" applyFill="1" applyBorder="1" applyAlignment="1" applyProtection="1"/>
    <xf numFmtId="0" fontId="37" fillId="0" borderId="3" xfId="0" applyFont="1" applyFill="1" applyBorder="1" applyAlignment="1" applyProtection="1"/>
    <xf numFmtId="0" fontId="10" fillId="0" borderId="5" xfId="0" applyFont="1" applyFill="1" applyBorder="1" applyAlignment="1">
      <alignment horizontal="center" vertical="center" wrapText="1"/>
    </xf>
    <xf numFmtId="3" fontId="10" fillId="0" borderId="0" xfId="0" applyNumberFormat="1" applyFont="1" applyFill="1" applyBorder="1" applyAlignment="1">
      <alignment horizontal="center" vertical="center" wrapText="1"/>
    </xf>
    <xf numFmtId="10" fontId="10" fillId="0" borderId="0" xfId="1" applyNumberFormat="1" applyFont="1" applyFill="1" applyBorder="1" applyAlignment="1">
      <alignment horizontal="center" vertical="center" wrapText="1"/>
    </xf>
    <xf numFmtId="0" fontId="11" fillId="0" borderId="5" xfId="0" applyFont="1" applyFill="1" applyBorder="1" applyAlignment="1">
      <alignment horizontal="center"/>
    </xf>
    <xf numFmtId="3" fontId="11" fillId="0" borderId="0" xfId="0" applyNumberFormat="1" applyFont="1" applyFill="1" applyBorder="1"/>
    <xf numFmtId="10" fontId="11" fillId="0" borderId="0" xfId="0" applyNumberFormat="1" applyFont="1" applyFill="1" applyBorder="1"/>
    <xf numFmtId="0" fontId="11" fillId="0" borderId="0" xfId="0" applyFont="1" applyFill="1" applyBorder="1"/>
    <xf numFmtId="3" fontId="11" fillId="4" borderId="0" xfId="0" applyNumberFormat="1" applyFont="1" applyFill="1" applyBorder="1"/>
    <xf numFmtId="10" fontId="11" fillId="4" borderId="0" xfId="0" applyNumberFormat="1" applyFont="1" applyFill="1" applyBorder="1"/>
    <xf numFmtId="3" fontId="11" fillId="5" borderId="0" xfId="0" applyNumberFormat="1" applyFont="1" applyFill="1" applyBorder="1"/>
    <xf numFmtId="10" fontId="11" fillId="5" borderId="0" xfId="0" applyNumberFormat="1" applyFont="1" applyFill="1" applyBorder="1"/>
    <xf numFmtId="3" fontId="35" fillId="0" borderId="0" xfId="0" applyNumberFormat="1" applyFont="1" applyFill="1" applyBorder="1"/>
    <xf numFmtId="10" fontId="35" fillId="0" borderId="0" xfId="0" applyNumberFormat="1" applyFont="1" applyFill="1" applyBorder="1"/>
    <xf numFmtId="0" fontId="13" fillId="0" borderId="6" xfId="0" applyFont="1" applyFill="1" applyBorder="1" applyAlignment="1" applyProtection="1">
      <alignment horizontal="center"/>
    </xf>
    <xf numFmtId="0" fontId="23" fillId="0" borderId="6" xfId="0" applyFont="1" applyFill="1" applyBorder="1" applyAlignment="1" applyProtection="1">
      <alignment horizontal="center"/>
    </xf>
    <xf numFmtId="0" fontId="28" fillId="0" borderId="6" xfId="0" applyFont="1" applyFill="1" applyBorder="1" applyAlignment="1" applyProtection="1">
      <alignment horizontal="center"/>
    </xf>
    <xf numFmtId="0" fontId="10" fillId="0" borderId="5" xfId="0" applyFont="1" applyFill="1" applyBorder="1" applyAlignment="1">
      <alignment horizontal="center"/>
    </xf>
    <xf numFmtId="3" fontId="10" fillId="0" borderId="0" xfId="0" applyNumberFormat="1" applyFont="1" applyFill="1" applyBorder="1"/>
    <xf numFmtId="10" fontId="10" fillId="0" borderId="0" xfId="0" applyNumberFormat="1" applyFont="1" applyFill="1" applyBorder="1"/>
    <xf numFmtId="0" fontId="23" fillId="0" borderId="5" xfId="0" applyFont="1" applyFill="1" applyBorder="1" applyAlignment="1" applyProtection="1">
      <alignment horizontal="center"/>
    </xf>
    <xf numFmtId="0" fontId="35" fillId="0" borderId="5" xfId="0" applyFont="1" applyFill="1" applyBorder="1" applyAlignment="1">
      <alignment horizontal="center"/>
    </xf>
    <xf numFmtId="3" fontId="35" fillId="5" borderId="0" xfId="0" applyNumberFormat="1" applyFont="1" applyFill="1" applyBorder="1"/>
    <xf numFmtId="10" fontId="35" fillId="5" borderId="0" xfId="0" applyNumberFormat="1" applyFont="1" applyFill="1" applyBorder="1"/>
    <xf numFmtId="0" fontId="11" fillId="4" borderId="5" xfId="0" applyFont="1" applyFill="1" applyBorder="1" applyAlignment="1">
      <alignment horizontal="center"/>
    </xf>
    <xf numFmtId="0" fontId="11" fillId="0" borderId="6" xfId="0" applyFont="1" applyBorder="1" applyAlignment="1">
      <alignment horizontal="center"/>
    </xf>
    <xf numFmtId="3" fontId="9" fillId="0" borderId="6" xfId="0" applyNumberFormat="1" applyFont="1" applyFill="1" applyBorder="1" applyAlignment="1" applyProtection="1">
      <alignment horizontal="right"/>
    </xf>
    <xf numFmtId="0" fontId="9" fillId="0" borderId="6" xfId="0" applyNumberFormat="1" applyFont="1" applyFill="1" applyBorder="1" applyAlignment="1" applyProtection="1">
      <alignment horizontal="right"/>
    </xf>
    <xf numFmtId="3" fontId="34" fillId="0" borderId="6" xfId="0" applyNumberFormat="1" applyFont="1" applyFill="1" applyBorder="1" applyAlignment="1" applyProtection="1">
      <alignment horizontal="right"/>
    </xf>
    <xf numFmtId="3" fontId="10" fillId="0" borderId="7" xfId="0" applyNumberFormat="1" applyFont="1" applyFill="1" applyBorder="1" applyAlignment="1">
      <alignment horizontal="center" vertical="center" wrapText="1"/>
    </xf>
    <xf numFmtId="3" fontId="42" fillId="0" borderId="7" xfId="0" applyNumberFormat="1" applyFont="1" applyFill="1" applyBorder="1" applyAlignment="1">
      <alignment horizontal="center" vertical="center" wrapText="1"/>
    </xf>
    <xf numFmtId="0" fontId="11" fillId="0" borderId="7" xfId="0" applyFont="1" applyFill="1" applyBorder="1"/>
    <xf numFmtId="3" fontId="13" fillId="0" borderId="8" xfId="0" applyNumberFormat="1" applyFont="1" applyFill="1" applyBorder="1" applyAlignment="1" applyProtection="1">
      <alignment horizontal="right"/>
    </xf>
    <xf numFmtId="0" fontId="20" fillId="0" borderId="8" xfId="0" applyFont="1" applyBorder="1" applyAlignment="1"/>
    <xf numFmtId="0" fontId="24" fillId="0" borderId="8" xfId="0" applyFont="1" applyBorder="1" applyAlignment="1"/>
    <xf numFmtId="3" fontId="18" fillId="0" borderId="8" xfId="0" applyNumberFormat="1" applyFont="1" applyFill="1" applyBorder="1" applyAlignment="1" applyProtection="1">
      <alignment horizontal="right"/>
    </xf>
    <xf numFmtId="3" fontId="23" fillId="0" borderId="8" xfId="0" applyNumberFormat="1" applyFont="1" applyFill="1" applyBorder="1" applyAlignment="1" applyProtection="1">
      <alignment horizontal="right"/>
    </xf>
    <xf numFmtId="0" fontId="35" fillId="0" borderId="7" xfId="0" applyFont="1" applyFill="1" applyBorder="1"/>
    <xf numFmtId="3" fontId="34" fillId="0" borderId="8" xfId="0" applyNumberFormat="1" applyFont="1" applyFill="1" applyBorder="1" applyAlignment="1" applyProtection="1">
      <alignment horizontal="center"/>
    </xf>
    <xf numFmtId="0" fontId="10" fillId="0" borderId="7" xfId="0" applyFont="1" applyFill="1" applyBorder="1"/>
    <xf numFmtId="3" fontId="28" fillId="0" borderId="8" xfId="0" applyNumberFormat="1" applyFont="1" applyFill="1" applyBorder="1" applyAlignment="1" applyProtection="1">
      <alignment horizontal="center"/>
    </xf>
    <xf numFmtId="0" fontId="29" fillId="0" borderId="7" xfId="0" applyFont="1" applyFill="1" applyBorder="1"/>
    <xf numFmtId="3" fontId="23" fillId="0" borderId="7" xfId="0" applyNumberFormat="1" applyFont="1" applyFill="1" applyBorder="1" applyAlignment="1" applyProtection="1">
      <alignment horizontal="right"/>
    </xf>
    <xf numFmtId="0" fontId="11" fillId="4" borderId="7" xfId="0" applyFont="1" applyFill="1" applyBorder="1"/>
    <xf numFmtId="0" fontId="11" fillId="0" borderId="8" xfId="0" applyFont="1" applyBorder="1"/>
    <xf numFmtId="3" fontId="29" fillId="0" borderId="7" xfId="0" applyNumberFormat="1" applyFont="1" applyFill="1" applyBorder="1" applyAlignment="1" applyProtection="1">
      <alignment horizontal="left"/>
    </xf>
    <xf numFmtId="0" fontId="11" fillId="0" borderId="7" xfId="0" applyFont="1" applyFill="1" applyBorder="1" applyAlignment="1">
      <alignment horizontal="right"/>
    </xf>
    <xf numFmtId="0" fontId="45" fillId="0" borderId="7" xfId="0" applyFont="1" applyFill="1" applyBorder="1"/>
    <xf numFmtId="0" fontId="27" fillId="0" borderId="7" xfId="0" applyFont="1" applyFill="1" applyBorder="1" applyAlignment="1">
      <alignment horizontal="right"/>
    </xf>
    <xf numFmtId="3" fontId="28" fillId="0" borderId="8" xfId="0" applyNumberFormat="1" applyFont="1" applyFill="1" applyBorder="1" applyAlignment="1" applyProtection="1">
      <alignment horizontal="right"/>
    </xf>
    <xf numFmtId="3" fontId="9" fillId="0" borderId="8" xfId="0" applyNumberFormat="1" applyFont="1" applyFill="1" applyBorder="1" applyAlignment="1" applyProtection="1">
      <alignment horizontal="right"/>
    </xf>
    <xf numFmtId="0" fontId="35" fillId="0" borderId="8" xfId="0" applyFont="1" applyBorder="1" applyAlignment="1">
      <alignment horizontal="right"/>
    </xf>
    <xf numFmtId="0" fontId="16" fillId="0" borderId="5" xfId="0" applyFont="1" applyFill="1" applyBorder="1"/>
    <xf numFmtId="164" fontId="25" fillId="0" borderId="5" xfId="0" applyNumberFormat="1" applyFont="1" applyFill="1" applyBorder="1" applyAlignment="1">
      <alignment horizontal="center" vertical="center" wrapText="1"/>
    </xf>
    <xf numFmtId="164" fontId="16" fillId="0" borderId="5" xfId="0" applyNumberFormat="1" applyFont="1" applyFill="1" applyBorder="1" applyAlignment="1">
      <alignment horizontal="center"/>
    </xf>
    <xf numFmtId="164" fontId="25" fillId="0" borderId="5" xfId="0" applyNumberFormat="1" applyFont="1" applyFill="1" applyBorder="1" applyAlignment="1">
      <alignment horizontal="center"/>
    </xf>
    <xf numFmtId="164" fontId="18" fillId="0" borderId="5" xfId="0" applyNumberFormat="1" applyFont="1" applyFill="1" applyBorder="1" applyAlignment="1" applyProtection="1">
      <alignment horizontal="left"/>
    </xf>
    <xf numFmtId="164" fontId="27" fillId="0" borderId="5" xfId="0" applyNumberFormat="1" applyFont="1" applyFill="1" applyBorder="1" applyAlignment="1">
      <alignment horizontal="center"/>
    </xf>
    <xf numFmtId="164" fontId="16" fillId="4" borderId="5" xfId="0" applyNumberFormat="1" applyFont="1" applyFill="1" applyBorder="1" applyAlignment="1">
      <alignment horizontal="center"/>
    </xf>
    <xf numFmtId="164" fontId="11" fillId="0" borderId="6" xfId="0" applyNumberFormat="1" applyFont="1" applyBorder="1" applyAlignment="1">
      <alignment horizontal="right"/>
    </xf>
    <xf numFmtId="164" fontId="28" fillId="0" borderId="6" xfId="0" applyNumberFormat="1" applyFont="1" applyFill="1" applyBorder="1" applyAlignment="1" applyProtection="1">
      <alignment horizontal="center"/>
    </xf>
    <xf numFmtId="164" fontId="38" fillId="0" borderId="6" xfId="0" applyNumberFormat="1" applyFont="1" applyFill="1" applyBorder="1" applyAlignment="1" applyProtection="1">
      <alignment horizontal="right"/>
    </xf>
    <xf numFmtId="164" fontId="40" fillId="0" borderId="6" xfId="0" applyNumberFormat="1" applyFont="1" applyFill="1" applyBorder="1" applyAlignment="1" applyProtection="1">
      <alignment horizontal="right"/>
    </xf>
    <xf numFmtId="164" fontId="30" fillId="0" borderId="6" xfId="0" applyNumberFormat="1" applyFont="1" applyFill="1" applyBorder="1" applyAlignment="1" applyProtection="1">
      <alignment horizontal="center"/>
    </xf>
    <xf numFmtId="164" fontId="31" fillId="0" borderId="6" xfId="0" applyNumberFormat="1" applyFont="1" applyFill="1" applyBorder="1" applyAlignment="1" applyProtection="1">
      <alignment horizontal="center"/>
    </xf>
    <xf numFmtId="164" fontId="31" fillId="0" borderId="6" xfId="0" applyNumberFormat="1" applyFont="1" applyFill="1" applyBorder="1" applyAlignment="1" applyProtection="1">
      <alignment horizontal="left"/>
    </xf>
    <xf numFmtId="164" fontId="32" fillId="0" borderId="6" xfId="0" applyNumberFormat="1" applyFont="1" applyFill="1" applyBorder="1" applyAlignment="1" applyProtection="1">
      <alignment horizontal="center"/>
    </xf>
    <xf numFmtId="164" fontId="33" fillId="0" borderId="6" xfId="0" applyNumberFormat="1" applyFont="1" applyFill="1" applyBorder="1" applyAlignment="1" applyProtection="1">
      <alignment horizontal="center"/>
    </xf>
    <xf numFmtId="164" fontId="13" fillId="0" borderId="6" xfId="0" applyNumberFormat="1" applyFont="1" applyFill="1" applyBorder="1" applyAlignment="1" applyProtection="1">
      <alignment horizontal="center"/>
    </xf>
    <xf numFmtId="164" fontId="18" fillId="0" borderId="6" xfId="0" applyNumberFormat="1" applyFont="1" applyFill="1" applyBorder="1" applyAlignment="1" applyProtection="1">
      <alignment horizontal="center"/>
    </xf>
    <xf numFmtId="164" fontId="18" fillId="0" borderId="6" xfId="0" applyNumberFormat="1" applyFont="1" applyFill="1" applyBorder="1" applyAlignment="1" applyProtection="1">
      <alignment horizontal="left"/>
    </xf>
    <xf numFmtId="164" fontId="23" fillId="0" borderId="6" xfId="0" applyNumberFormat="1" applyFont="1" applyFill="1" applyBorder="1" applyAlignment="1" applyProtection="1">
      <alignment horizontal="center"/>
    </xf>
    <xf numFmtId="3" fontId="18" fillId="0" borderId="11" xfId="0" applyNumberFormat="1" applyFont="1" applyFill="1" applyBorder="1" applyAlignment="1" applyProtection="1">
      <alignment horizontal="right"/>
    </xf>
    <xf numFmtId="3" fontId="10" fillId="0" borderId="12" xfId="0" applyNumberFormat="1" applyFont="1" applyFill="1" applyBorder="1" applyAlignment="1">
      <alignment horizontal="center" vertical="center" wrapText="1"/>
    </xf>
    <xf numFmtId="0" fontId="11" fillId="0" borderId="12" xfId="0" applyNumberFormat="1" applyFont="1" applyFill="1" applyBorder="1"/>
    <xf numFmtId="3" fontId="13" fillId="0" borderId="11" xfId="0" applyNumberFormat="1" applyFont="1" applyFill="1" applyBorder="1" applyAlignment="1" applyProtection="1">
      <alignment horizontal="right"/>
    </xf>
    <xf numFmtId="3" fontId="23" fillId="0" borderId="11" xfId="0" applyNumberFormat="1" applyFont="1" applyFill="1" applyBorder="1" applyAlignment="1" applyProtection="1">
      <alignment horizontal="right"/>
    </xf>
    <xf numFmtId="3" fontId="28" fillId="0" borderId="11" xfId="0" applyNumberFormat="1" applyFont="1" applyFill="1" applyBorder="1" applyAlignment="1" applyProtection="1">
      <alignment horizontal="center"/>
    </xf>
    <xf numFmtId="0" fontId="10" fillId="0" borderId="12" xfId="0" applyNumberFormat="1" applyFont="1" applyFill="1" applyBorder="1"/>
    <xf numFmtId="3" fontId="28" fillId="0" borderId="11" xfId="0" applyNumberFormat="1" applyFont="1" applyFill="1" applyBorder="1" applyAlignment="1" applyProtection="1">
      <alignment horizontal="right"/>
    </xf>
    <xf numFmtId="3" fontId="23" fillId="0" borderId="12" xfId="0" applyNumberFormat="1" applyFont="1" applyFill="1" applyBorder="1" applyAlignment="1" applyProtection="1">
      <alignment horizontal="right"/>
    </xf>
    <xf numFmtId="0" fontId="35" fillId="0" borderId="12" xfId="0" applyNumberFormat="1" applyFont="1" applyFill="1" applyBorder="1"/>
    <xf numFmtId="0" fontId="11" fillId="4" borderId="12" xfId="0" applyNumberFormat="1" applyFont="1" applyFill="1" applyBorder="1"/>
    <xf numFmtId="1" fontId="11" fillId="0" borderId="11" xfId="0" applyNumberFormat="1" applyFont="1" applyBorder="1" applyAlignment="1">
      <alignment horizontal="right"/>
    </xf>
    <xf numFmtId="3" fontId="39" fillId="0" borderId="11" xfId="0" applyNumberFormat="1" applyFont="1" applyFill="1" applyBorder="1" applyAlignment="1" applyProtection="1">
      <alignment horizontal="right"/>
    </xf>
    <xf numFmtId="3" fontId="41" fillId="0" borderId="11" xfId="0" applyNumberFormat="1" applyFont="1" applyFill="1" applyBorder="1" applyAlignment="1" applyProtection="1">
      <alignment horizontal="right"/>
    </xf>
    <xf numFmtId="3" fontId="11" fillId="0" borderId="12" xfId="0" applyNumberFormat="1" applyFont="1" applyFill="1" applyBorder="1"/>
    <xf numFmtId="3" fontId="11" fillId="4" borderId="12" xfId="0" applyNumberFormat="1" applyFont="1" applyFill="1" applyBorder="1"/>
    <xf numFmtId="3" fontId="11" fillId="5" borderId="12" xfId="0" applyNumberFormat="1" applyFont="1" applyFill="1" applyBorder="1"/>
    <xf numFmtId="3" fontId="14" fillId="0" borderId="11" xfId="0" applyNumberFormat="1" applyFont="1" applyFill="1" applyBorder="1" applyAlignment="1" applyProtection="1">
      <alignment horizontal="right"/>
    </xf>
    <xf numFmtId="3" fontId="19" fillId="0" borderId="11" xfId="0" applyNumberFormat="1" applyFont="1" applyFill="1" applyBorder="1" applyAlignment="1" applyProtection="1">
      <alignment horizontal="right"/>
    </xf>
    <xf numFmtId="165" fontId="18" fillId="0" borderId="11" xfId="0" applyNumberFormat="1" applyFont="1" applyFill="1" applyBorder="1" applyAlignment="1" applyProtection="1">
      <alignment horizontal="right"/>
    </xf>
    <xf numFmtId="3" fontId="35" fillId="0" borderId="12" xfId="0" applyNumberFormat="1" applyFont="1" applyFill="1" applyBorder="1"/>
    <xf numFmtId="3" fontId="14" fillId="0" borderId="11" xfId="0" applyNumberFormat="1" applyFont="1" applyFill="1" applyBorder="1" applyAlignment="1" applyProtection="1">
      <alignment horizontal="center"/>
    </xf>
    <xf numFmtId="3" fontId="19" fillId="0" borderId="11" xfId="0" applyNumberFormat="1" applyFont="1" applyFill="1" applyBorder="1" applyAlignment="1" applyProtection="1">
      <alignment horizontal="center"/>
    </xf>
    <xf numFmtId="3" fontId="10" fillId="0" borderId="12" xfId="0" applyNumberFormat="1" applyFont="1" applyFill="1" applyBorder="1"/>
    <xf numFmtId="3" fontId="14" fillId="0" borderId="12" xfId="0" applyNumberFormat="1" applyFont="1" applyFill="1" applyBorder="1" applyAlignment="1" applyProtection="1">
      <alignment horizontal="right"/>
    </xf>
    <xf numFmtId="3" fontId="35" fillId="5" borderId="12" xfId="0" applyNumberFormat="1" applyFont="1" applyFill="1" applyBorder="1"/>
    <xf numFmtId="3" fontId="11" fillId="0" borderId="11" xfId="0" applyNumberFormat="1" applyFont="1" applyBorder="1" applyAlignment="1">
      <alignment horizontal="right"/>
    </xf>
    <xf numFmtId="0" fontId="11" fillId="0" borderId="12" xfId="0" applyFont="1" applyFill="1" applyBorder="1"/>
    <xf numFmtId="3" fontId="4" fillId="0" borderId="11" xfId="0" applyNumberFormat="1" applyFont="1" applyFill="1" applyBorder="1" applyAlignment="1" applyProtection="1">
      <alignment horizontal="right"/>
    </xf>
    <xf numFmtId="3" fontId="36" fillId="0" borderId="11" xfId="0" applyNumberFormat="1" applyFont="1" applyFill="1" applyBorder="1" applyAlignment="1" applyProtection="1">
      <alignment horizontal="right"/>
    </xf>
    <xf numFmtId="3" fontId="36" fillId="0" borderId="11" xfId="0" applyNumberFormat="1" applyFont="1" applyFill="1" applyBorder="1" applyAlignment="1" applyProtection="1">
      <alignment horizontal="center"/>
    </xf>
    <xf numFmtId="165" fontId="13" fillId="0" borderId="2" xfId="0" applyNumberFormat="1" applyFont="1" applyFill="1" applyBorder="1" applyAlignment="1" applyProtection="1">
      <alignment horizontal="right"/>
    </xf>
    <xf numFmtId="165" fontId="28" fillId="0" borderId="2" xfId="0" applyNumberFormat="1" applyFont="1" applyFill="1" applyBorder="1" applyAlignment="1" applyProtection="1">
      <alignment horizontal="right"/>
    </xf>
    <xf numFmtId="165" fontId="9" fillId="0" borderId="2" xfId="0" applyNumberFormat="1" applyFont="1" applyFill="1" applyBorder="1" applyAlignment="1" applyProtection="1">
      <alignment horizontal="right"/>
    </xf>
    <xf numFmtId="165" fontId="37" fillId="0" borderId="2" xfId="0" applyNumberFormat="1" applyFont="1" applyFill="1" applyBorder="1" applyAlignment="1" applyProtection="1">
      <alignment horizontal="right"/>
    </xf>
    <xf numFmtId="0" fontId="35" fillId="0" borderId="12" xfId="0" applyFont="1" applyFill="1" applyBorder="1"/>
    <xf numFmtId="3" fontId="13" fillId="0" borderId="11" xfId="0" applyNumberFormat="1" applyFont="1" applyFill="1" applyBorder="1" applyAlignment="1" applyProtection="1">
      <alignment horizontal="center"/>
    </xf>
    <xf numFmtId="0" fontId="28" fillId="0" borderId="11" xfId="0" applyFont="1" applyFill="1" applyBorder="1" applyAlignment="1" applyProtection="1">
      <alignment horizontal="center"/>
    </xf>
    <xf numFmtId="0" fontId="11" fillId="4" borderId="12" xfId="0" applyFont="1" applyFill="1" applyBorder="1"/>
    <xf numFmtId="0" fontId="11" fillId="0" borderId="11" xfId="0" applyFont="1" applyBorder="1" applyAlignment="1">
      <alignment horizontal="right"/>
    </xf>
    <xf numFmtId="3" fontId="29" fillId="0" borderId="12" xfId="0" applyNumberFormat="1" applyFont="1" applyFill="1" applyBorder="1" applyAlignment="1" applyProtection="1">
      <alignment horizontal="right"/>
    </xf>
    <xf numFmtId="0" fontId="11" fillId="0" borderId="12" xfId="0" applyFont="1" applyFill="1" applyBorder="1" applyAlignment="1">
      <alignment horizontal="right"/>
    </xf>
    <xf numFmtId="0" fontId="27" fillId="0" borderId="12" xfId="0" applyFont="1" applyFill="1" applyBorder="1" applyAlignment="1">
      <alignment horizontal="right"/>
    </xf>
    <xf numFmtId="3" fontId="9" fillId="0" borderId="11" xfId="0" applyNumberFormat="1" applyFont="1" applyFill="1" applyBorder="1" applyAlignment="1" applyProtection="1">
      <alignment horizontal="right"/>
    </xf>
    <xf numFmtId="0" fontId="39" fillId="0" borderId="11" xfId="0" applyFont="1" applyBorder="1" applyAlignment="1">
      <alignment horizontal="right"/>
    </xf>
    <xf numFmtId="3" fontId="34" fillId="0" borderId="11" xfId="0" applyNumberFormat="1" applyFont="1" applyFill="1" applyBorder="1" applyAlignment="1" applyProtection="1">
      <alignment horizontal="center"/>
    </xf>
    <xf numFmtId="0" fontId="18" fillId="0" borderId="6" xfId="0" applyFont="1" applyFill="1" applyBorder="1" applyAlignment="1" applyProtection="1">
      <alignment horizontal="center"/>
    </xf>
    <xf numFmtId="0" fontId="10" fillId="0" borderId="9" xfId="0" applyFont="1" applyFill="1" applyBorder="1" applyAlignment="1">
      <alignment horizontal="center" vertical="center" wrapText="1"/>
    </xf>
    <xf numFmtId="0" fontId="11" fillId="0" borderId="9" xfId="0" applyFont="1" applyFill="1" applyBorder="1" applyAlignment="1">
      <alignment horizontal="center"/>
    </xf>
    <xf numFmtId="0" fontId="13" fillId="0" borderId="10" xfId="0" applyFont="1" applyFill="1" applyBorder="1" applyAlignment="1" applyProtection="1">
      <alignment horizontal="center"/>
    </xf>
    <xf numFmtId="0" fontId="18" fillId="0" borderId="10" xfId="0" applyFont="1" applyFill="1" applyBorder="1" applyAlignment="1" applyProtection="1">
      <alignment horizontal="center"/>
    </xf>
    <xf numFmtId="0" fontId="23" fillId="0" borderId="10" xfId="0" applyFont="1" applyFill="1" applyBorder="1" applyAlignment="1" applyProtection="1">
      <alignment horizontal="center"/>
    </xf>
    <xf numFmtId="0" fontId="34" fillId="0" borderId="10" xfId="0" applyFont="1" applyFill="1" applyBorder="1" applyAlignment="1" applyProtection="1">
      <alignment horizontal="center"/>
    </xf>
    <xf numFmtId="0" fontId="10" fillId="0" borderId="9" xfId="0" applyFont="1" applyFill="1" applyBorder="1" applyAlignment="1">
      <alignment horizontal="center"/>
    </xf>
    <xf numFmtId="0" fontId="28" fillId="0" borderId="10" xfId="0" applyFont="1" applyFill="1" applyBorder="1" applyAlignment="1" applyProtection="1">
      <alignment horizontal="center"/>
    </xf>
    <xf numFmtId="0" fontId="23" fillId="0" borderId="9" xfId="0" applyFont="1" applyFill="1" applyBorder="1" applyAlignment="1" applyProtection="1">
      <alignment horizontal="center"/>
    </xf>
    <xf numFmtId="0" fontId="35" fillId="0" borderId="9" xfId="0" applyFont="1" applyFill="1" applyBorder="1" applyAlignment="1">
      <alignment horizontal="center"/>
    </xf>
    <xf numFmtId="0" fontId="11" fillId="4" borderId="9" xfId="0" applyFont="1" applyFill="1" applyBorder="1" applyAlignment="1">
      <alignment horizontal="center"/>
    </xf>
    <xf numFmtId="0" fontId="11" fillId="0" borderId="10" xfId="0" applyFont="1" applyBorder="1" applyAlignment="1">
      <alignment horizontal="center"/>
    </xf>
    <xf numFmtId="0" fontId="9" fillId="0" borderId="10" xfId="0" applyFont="1" applyFill="1" applyBorder="1" applyAlignment="1" applyProtection="1">
      <alignment horizontal="right"/>
    </xf>
    <xf numFmtId="3" fontId="34" fillId="0" borderId="10" xfId="0" applyNumberFormat="1" applyFont="1" applyFill="1" applyBorder="1" applyAlignment="1" applyProtection="1">
      <alignment horizontal="right"/>
    </xf>
    <xf numFmtId="0" fontId="2" fillId="2" borderId="1" xfId="0" applyFont="1" applyFill="1" applyBorder="1" applyAlignment="1">
      <alignment horizontal="center" vertical="center"/>
    </xf>
    <xf numFmtId="0" fontId="7" fillId="0" borderId="1" xfId="0" applyFont="1" applyBorder="1" applyAlignment="1">
      <alignment horizontal="left" wrapText="1"/>
    </xf>
    <xf numFmtId="0" fontId="8" fillId="0" borderId="1" xfId="0" applyFont="1" applyBorder="1" applyAlignment="1">
      <alignment horizontal="left" vertical="center"/>
    </xf>
    <xf numFmtId="0" fontId="0" fillId="0" borderId="1" xfId="0" applyBorder="1" applyAlignment="1">
      <alignment horizontal="left" vertical="center" wrapText="1"/>
    </xf>
  </cellXfs>
  <cellStyles count="2">
    <cellStyle name="Normal" xfId="0" builtinId="0"/>
    <cellStyle name="Percent" xfId="1" builtinId="5"/>
  </cellStyles>
  <dxfs count="2">
    <dxf>
      <fill>
        <patternFill>
          <bgColor indexed="10"/>
        </patternFill>
      </fill>
    </dxf>
    <dxf>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15"/>
  <sheetViews>
    <sheetView tabSelected="1" zoomScaleNormal="100" workbookViewId="0">
      <pane xSplit="4" ySplit="1" topLeftCell="E2" activePane="bottomRight" state="frozen"/>
      <selection pane="topRight" activeCell="I1" sqref="I1"/>
      <selection pane="bottomLeft" activeCell="A2" sqref="A2"/>
      <selection pane="bottomRight"/>
    </sheetView>
  </sheetViews>
  <sheetFormatPr defaultRowHeight="12" x14ac:dyDescent="0.2"/>
  <cols>
    <col min="1" max="1" width="34.7109375" style="8" customWidth="1"/>
    <col min="2" max="2" width="3.7109375" style="62" customWidth="1"/>
    <col min="3" max="3" width="3.28515625" style="178" customWidth="1"/>
    <col min="4" max="4" width="7.28515625" style="112" customWidth="1"/>
    <col min="5" max="5" width="5.7109375" style="132" customWidth="1"/>
    <col min="6" max="6" width="10.7109375" style="65" customWidth="1"/>
    <col min="7" max="7" width="10.7109375" style="157" customWidth="1"/>
    <col min="8" max="8" width="7.7109375" style="64" customWidth="1"/>
    <col min="9" max="9" width="6.7109375" style="157" customWidth="1"/>
    <col min="10" max="10" width="6.7109375" style="89" customWidth="1"/>
    <col min="11" max="11" width="35.7109375" style="15" customWidth="1"/>
    <col min="12" max="16384" width="9.140625" style="8"/>
  </cols>
  <sheetData>
    <row r="1" spans="1:11" ht="72" customHeight="1" x14ac:dyDescent="0.2">
      <c r="A1" s="11"/>
      <c r="B1" s="59" t="s">
        <v>307</v>
      </c>
      <c r="C1" s="177" t="s">
        <v>308</v>
      </c>
      <c r="D1" s="111" t="s">
        <v>159</v>
      </c>
      <c r="E1" s="131" t="s">
        <v>309</v>
      </c>
      <c r="F1" s="60" t="s">
        <v>313</v>
      </c>
      <c r="G1" s="131" t="s">
        <v>310</v>
      </c>
      <c r="H1" s="61" t="s">
        <v>311</v>
      </c>
      <c r="I1" s="131" t="s">
        <v>416</v>
      </c>
      <c r="J1" s="87" t="s">
        <v>312</v>
      </c>
      <c r="K1" s="47" t="s">
        <v>163</v>
      </c>
    </row>
    <row r="2" spans="1:11" ht="12" customHeight="1" x14ac:dyDescent="0.2">
      <c r="A2" s="11"/>
      <c r="B2" s="59"/>
      <c r="C2" s="177"/>
      <c r="D2" s="111"/>
      <c r="E2" s="131"/>
      <c r="F2" s="60"/>
      <c r="G2" s="131"/>
      <c r="H2" s="61"/>
      <c r="I2" s="131"/>
      <c r="J2" s="88"/>
      <c r="K2" s="24"/>
    </row>
    <row r="3" spans="1:11" x14ac:dyDescent="0.2">
      <c r="A3" s="8" t="s">
        <v>2</v>
      </c>
      <c r="B3" s="62">
        <v>1</v>
      </c>
      <c r="C3" s="178">
        <v>6</v>
      </c>
      <c r="D3" s="112">
        <v>43830</v>
      </c>
      <c r="E3" s="132">
        <v>184</v>
      </c>
      <c r="F3" s="63">
        <v>21528</v>
      </c>
      <c r="G3" s="144">
        <v>19332</v>
      </c>
      <c r="H3" s="64">
        <v>0.89799331103678925</v>
      </c>
      <c r="I3" s="157">
        <v>117</v>
      </c>
      <c r="J3" s="89">
        <v>117</v>
      </c>
      <c r="K3" s="15" t="s">
        <v>353</v>
      </c>
    </row>
    <row r="4" spans="1:11" x14ac:dyDescent="0.2">
      <c r="A4" s="8" t="s">
        <v>3</v>
      </c>
      <c r="B4" s="62">
        <v>1</v>
      </c>
      <c r="C4" s="178">
        <v>6</v>
      </c>
      <c r="D4" s="112">
        <v>43830</v>
      </c>
      <c r="E4" s="132">
        <v>184</v>
      </c>
      <c r="F4" s="63">
        <v>20056</v>
      </c>
      <c r="G4" s="144">
        <v>20018</v>
      </c>
      <c r="H4" s="64">
        <v>0.99810530514559237</v>
      </c>
      <c r="I4" s="157">
        <v>109</v>
      </c>
      <c r="J4" s="89">
        <v>109</v>
      </c>
      <c r="K4" s="15" t="s">
        <v>353</v>
      </c>
    </row>
    <row r="5" spans="1:11" x14ac:dyDescent="0.2">
      <c r="A5" s="8" t="s">
        <v>4</v>
      </c>
      <c r="B5" s="62">
        <v>1</v>
      </c>
      <c r="C5" s="178">
        <v>6</v>
      </c>
      <c r="D5" s="112">
        <v>43830</v>
      </c>
      <c r="E5" s="132">
        <v>365</v>
      </c>
      <c r="F5" s="66">
        <v>6205</v>
      </c>
      <c r="G5" s="145">
        <v>5005</v>
      </c>
      <c r="H5" s="67">
        <v>0.80660757453666398</v>
      </c>
      <c r="I5" s="157">
        <v>17</v>
      </c>
      <c r="J5" s="89">
        <v>0</v>
      </c>
      <c r="K5" s="15" t="s">
        <v>318</v>
      </c>
    </row>
    <row r="6" spans="1:11" x14ac:dyDescent="0.2">
      <c r="A6" s="8" t="s">
        <v>184</v>
      </c>
      <c r="B6" s="62">
        <v>1</v>
      </c>
      <c r="C6" s="178">
        <v>6</v>
      </c>
      <c r="D6" s="112">
        <v>43830</v>
      </c>
      <c r="E6" s="132">
        <v>365</v>
      </c>
      <c r="F6" s="63">
        <v>40880</v>
      </c>
      <c r="G6" s="144">
        <v>37228</v>
      </c>
      <c r="H6" s="64">
        <v>0.91066536203522508</v>
      </c>
      <c r="I6" s="157">
        <v>112</v>
      </c>
      <c r="J6" s="89">
        <v>112</v>
      </c>
    </row>
    <row r="7" spans="1:11" x14ac:dyDescent="0.2">
      <c r="A7" s="8" t="s">
        <v>6</v>
      </c>
      <c r="B7" s="62">
        <v>1</v>
      </c>
      <c r="C7" s="178">
        <v>6</v>
      </c>
      <c r="D7" s="112">
        <v>43738</v>
      </c>
      <c r="E7" s="132">
        <v>365</v>
      </c>
      <c r="F7" s="63">
        <v>46355</v>
      </c>
      <c r="G7" s="144">
        <v>43971</v>
      </c>
      <c r="H7" s="64">
        <v>0.94857081221011752</v>
      </c>
      <c r="I7" s="157">
        <v>127</v>
      </c>
      <c r="J7" s="89">
        <v>127</v>
      </c>
    </row>
    <row r="8" spans="1:11" x14ac:dyDescent="0.2">
      <c r="A8" s="8" t="s">
        <v>9</v>
      </c>
      <c r="B8" s="62">
        <v>1</v>
      </c>
      <c r="C8" s="178">
        <v>6</v>
      </c>
      <c r="D8" s="112">
        <v>43830</v>
      </c>
      <c r="E8" s="132">
        <v>365</v>
      </c>
      <c r="F8" s="63">
        <v>62050</v>
      </c>
      <c r="G8" s="144">
        <v>57682</v>
      </c>
      <c r="H8" s="64">
        <v>0.92960515713134573</v>
      </c>
      <c r="I8" s="157">
        <v>170</v>
      </c>
      <c r="J8" s="89">
        <v>170</v>
      </c>
      <c r="K8" s="110"/>
    </row>
    <row r="9" spans="1:11" x14ac:dyDescent="0.2">
      <c r="A9" s="8" t="s">
        <v>194</v>
      </c>
      <c r="B9" s="62">
        <v>1</v>
      </c>
      <c r="C9" s="178">
        <v>6</v>
      </c>
      <c r="D9" s="112">
        <v>43830</v>
      </c>
      <c r="E9" s="132">
        <v>365</v>
      </c>
      <c r="F9" s="63">
        <v>65700</v>
      </c>
      <c r="G9" s="144">
        <v>62176</v>
      </c>
      <c r="H9" s="64">
        <v>0.94636225266362251</v>
      </c>
      <c r="I9" s="157">
        <v>180</v>
      </c>
      <c r="J9" s="89">
        <v>180</v>
      </c>
    </row>
    <row r="10" spans="1:11" x14ac:dyDescent="0.2">
      <c r="A10" s="8" t="s">
        <v>15</v>
      </c>
      <c r="B10" s="62">
        <v>1</v>
      </c>
      <c r="C10" s="178">
        <v>6</v>
      </c>
      <c r="D10" s="112">
        <v>43830</v>
      </c>
      <c r="E10" s="132">
        <v>365</v>
      </c>
      <c r="F10" s="63">
        <v>21900</v>
      </c>
      <c r="G10" s="144">
        <v>20178</v>
      </c>
      <c r="H10" s="64">
        <v>0.92136986301369861</v>
      </c>
      <c r="I10" s="157">
        <v>60</v>
      </c>
      <c r="J10" s="89">
        <v>60</v>
      </c>
    </row>
    <row r="11" spans="1:11" x14ac:dyDescent="0.2">
      <c r="A11" s="8" t="s">
        <v>16</v>
      </c>
      <c r="B11" s="62">
        <v>1</v>
      </c>
      <c r="C11" s="178">
        <v>6</v>
      </c>
      <c r="D11" s="112">
        <v>43830</v>
      </c>
      <c r="E11" s="132">
        <v>365</v>
      </c>
      <c r="F11" s="63">
        <v>21900</v>
      </c>
      <c r="G11" s="144">
        <v>16565</v>
      </c>
      <c r="H11" s="64">
        <v>0.75639269406392695</v>
      </c>
      <c r="I11" s="157">
        <v>60</v>
      </c>
      <c r="J11" s="89">
        <v>50</v>
      </c>
      <c r="K11" s="15" t="s">
        <v>319</v>
      </c>
    </row>
    <row r="12" spans="1:11" x14ac:dyDescent="0.2">
      <c r="A12" s="8" t="s">
        <v>17</v>
      </c>
      <c r="B12" s="62">
        <v>1</v>
      </c>
      <c r="C12" s="178">
        <v>6</v>
      </c>
      <c r="D12" s="112">
        <v>43830</v>
      </c>
      <c r="E12" s="132">
        <v>365</v>
      </c>
      <c r="F12" s="63">
        <v>42705</v>
      </c>
      <c r="G12" s="144">
        <v>40389</v>
      </c>
      <c r="H12" s="64">
        <v>0.94576747453459786</v>
      </c>
      <c r="I12" s="157">
        <v>117</v>
      </c>
      <c r="J12" s="89">
        <v>117</v>
      </c>
    </row>
    <row r="13" spans="1:11" x14ac:dyDescent="0.2">
      <c r="A13" s="8" t="s">
        <v>198</v>
      </c>
      <c r="B13" s="62">
        <v>1</v>
      </c>
      <c r="C13" s="178">
        <v>6</v>
      </c>
      <c r="D13" s="112">
        <v>43830</v>
      </c>
      <c r="E13" s="132">
        <v>365</v>
      </c>
      <c r="F13" s="63">
        <v>21900</v>
      </c>
      <c r="G13" s="144">
        <v>20245</v>
      </c>
      <c r="H13" s="64">
        <v>0.92442922374429226</v>
      </c>
      <c r="I13" s="157">
        <v>60</v>
      </c>
      <c r="J13" s="89">
        <v>60</v>
      </c>
    </row>
    <row r="14" spans="1:11" x14ac:dyDescent="0.2">
      <c r="A14" s="8" t="s">
        <v>23</v>
      </c>
      <c r="B14" s="62">
        <v>1</v>
      </c>
      <c r="C14" s="178">
        <v>6</v>
      </c>
      <c r="D14" s="112">
        <v>43830</v>
      </c>
      <c r="E14" s="132">
        <v>365</v>
      </c>
      <c r="F14" s="63">
        <v>33945</v>
      </c>
      <c r="G14" s="144">
        <v>28711</v>
      </c>
      <c r="H14" s="64">
        <v>0.84580939755486817</v>
      </c>
      <c r="I14" s="157">
        <v>93</v>
      </c>
      <c r="J14" s="89">
        <v>93</v>
      </c>
    </row>
    <row r="15" spans="1:11" x14ac:dyDescent="0.2">
      <c r="A15" s="8" t="s">
        <v>200</v>
      </c>
      <c r="B15" s="62">
        <v>1</v>
      </c>
      <c r="C15" s="178">
        <v>6</v>
      </c>
      <c r="D15" s="112">
        <v>43830</v>
      </c>
      <c r="E15" s="132">
        <v>365</v>
      </c>
      <c r="F15" s="63">
        <v>21900</v>
      </c>
      <c r="G15" s="144">
        <v>18136</v>
      </c>
      <c r="H15" s="64">
        <v>0.82812785388127852</v>
      </c>
      <c r="I15" s="157">
        <v>60</v>
      </c>
      <c r="J15" s="89">
        <v>60</v>
      </c>
    </row>
    <row r="16" spans="1:11" x14ac:dyDescent="0.2">
      <c r="A16" s="8" t="s">
        <v>27</v>
      </c>
      <c r="B16" s="62">
        <v>1</v>
      </c>
      <c r="C16" s="178">
        <v>6</v>
      </c>
      <c r="D16" s="112">
        <v>43830</v>
      </c>
      <c r="E16" s="132">
        <v>365</v>
      </c>
      <c r="F16" s="68">
        <v>6570</v>
      </c>
      <c r="G16" s="146">
        <v>6262</v>
      </c>
      <c r="H16" s="69">
        <v>0.95312024353120239</v>
      </c>
      <c r="I16" s="157">
        <v>18</v>
      </c>
      <c r="J16" s="89">
        <v>18</v>
      </c>
      <c r="K16" s="15" t="s">
        <v>320</v>
      </c>
    </row>
    <row r="17" spans="1:11" x14ac:dyDescent="0.2">
      <c r="A17" s="8" t="s">
        <v>28</v>
      </c>
      <c r="B17" s="62">
        <v>1</v>
      </c>
      <c r="C17" s="178">
        <v>6</v>
      </c>
      <c r="D17" s="112">
        <v>43830</v>
      </c>
      <c r="E17" s="132">
        <v>365</v>
      </c>
      <c r="F17" s="68">
        <v>30660</v>
      </c>
      <c r="G17" s="146">
        <v>27769</v>
      </c>
      <c r="H17" s="69">
        <v>0.90570776255707763</v>
      </c>
      <c r="I17" s="157">
        <v>84</v>
      </c>
      <c r="J17" s="89">
        <v>84</v>
      </c>
      <c r="K17" s="15" t="s">
        <v>320</v>
      </c>
    </row>
    <row r="18" spans="1:11" x14ac:dyDescent="0.2">
      <c r="A18" s="8" t="s">
        <v>32</v>
      </c>
      <c r="B18" s="62">
        <v>1</v>
      </c>
      <c r="C18" s="178">
        <v>6</v>
      </c>
      <c r="D18" s="112">
        <v>43555</v>
      </c>
      <c r="E18" s="132">
        <v>365</v>
      </c>
      <c r="F18" s="63">
        <v>43800</v>
      </c>
      <c r="G18" s="144">
        <v>39889</v>
      </c>
      <c r="H18" s="64">
        <v>0.91070776255707764</v>
      </c>
      <c r="I18" s="157">
        <v>120</v>
      </c>
      <c r="J18" s="89">
        <v>120</v>
      </c>
      <c r="K18" s="32" t="s">
        <v>392</v>
      </c>
    </row>
    <row r="19" spans="1:11" s="12" customFormat="1" ht="11.45" customHeight="1" x14ac:dyDescent="0.25">
      <c r="A19" s="54" t="s">
        <v>314</v>
      </c>
      <c r="B19" s="72">
        <f>COUNTA(B3:B18)</f>
        <v>16</v>
      </c>
      <c r="C19" s="179"/>
      <c r="D19" s="121"/>
      <c r="E19" s="133"/>
      <c r="F19" s="29">
        <f>SUM(F3:F18)</f>
        <v>508054</v>
      </c>
      <c r="G19" s="147">
        <f>SUM(G3:G18)</f>
        <v>463556</v>
      </c>
      <c r="H19" s="161">
        <f>G19/F19</f>
        <v>0.91241482204647539</v>
      </c>
      <c r="I19" s="133">
        <f>SUM(I3:I18)</f>
        <v>1504</v>
      </c>
      <c r="J19" s="90">
        <f>SUM(J3:J18)</f>
        <v>1477</v>
      </c>
      <c r="K19" s="16" t="s">
        <v>321</v>
      </c>
    </row>
    <row r="20" spans="1:11" s="14" customFormat="1" ht="11.45" customHeight="1" x14ac:dyDescent="0.25">
      <c r="A20" s="55" t="s">
        <v>316</v>
      </c>
      <c r="B20" s="176"/>
      <c r="C20" s="180"/>
      <c r="D20" s="122"/>
      <c r="E20" s="130"/>
      <c r="F20" s="13">
        <f>SUM(F3:F4,F6:F15,F18)</f>
        <v>464619</v>
      </c>
      <c r="G20" s="148">
        <f>SUM(G3:G4,G6:G15,G18)</f>
        <v>424520</v>
      </c>
      <c r="H20" s="39">
        <f>G20/F20</f>
        <v>0.91369487687761375</v>
      </c>
      <c r="I20" s="130"/>
      <c r="J20" s="91"/>
      <c r="K20" s="16" t="s">
        <v>324</v>
      </c>
    </row>
    <row r="21" spans="1:11" s="12" customFormat="1" ht="11.45" customHeight="1" x14ac:dyDescent="0.25">
      <c r="A21" s="56"/>
      <c r="B21" s="73"/>
      <c r="C21" s="181"/>
      <c r="D21" s="123" t="s">
        <v>317</v>
      </c>
      <c r="E21" s="133"/>
      <c r="F21" s="37"/>
      <c r="G21" s="149"/>
      <c r="H21" s="39">
        <f>MEDIAN(H3:H4,H6:H15,H18)</f>
        <v>0.92136986301369861</v>
      </c>
      <c r="I21" s="134"/>
      <c r="J21" s="92"/>
      <c r="K21" s="16" t="s">
        <v>325</v>
      </c>
    </row>
    <row r="22" spans="1:11" x14ac:dyDescent="0.2">
      <c r="F22" s="63"/>
      <c r="G22" s="144"/>
    </row>
    <row r="23" spans="1:11" x14ac:dyDescent="0.2">
      <c r="A23" s="8" t="s">
        <v>7</v>
      </c>
      <c r="B23" s="62">
        <v>1</v>
      </c>
      <c r="C23" s="178">
        <v>7</v>
      </c>
      <c r="D23" s="112">
        <v>43830</v>
      </c>
      <c r="E23" s="132">
        <v>365</v>
      </c>
      <c r="F23" s="63">
        <v>32120</v>
      </c>
      <c r="G23" s="144">
        <v>29450</v>
      </c>
      <c r="H23" s="64">
        <v>0.91687422166874222</v>
      </c>
      <c r="I23" s="157">
        <v>88</v>
      </c>
      <c r="J23" s="89">
        <v>88</v>
      </c>
    </row>
    <row r="24" spans="1:11" x14ac:dyDescent="0.2">
      <c r="A24" s="8" t="s">
        <v>10</v>
      </c>
      <c r="B24" s="62">
        <v>1</v>
      </c>
      <c r="C24" s="178">
        <v>7</v>
      </c>
      <c r="D24" s="112">
        <v>43830</v>
      </c>
      <c r="E24" s="132">
        <v>365</v>
      </c>
      <c r="F24" s="63">
        <v>21900</v>
      </c>
      <c r="G24" s="144">
        <v>20188</v>
      </c>
      <c r="H24" s="64">
        <v>0.92182648401826484</v>
      </c>
      <c r="I24" s="157">
        <v>60</v>
      </c>
      <c r="J24" s="89">
        <v>60</v>
      </c>
    </row>
    <row r="25" spans="1:11" x14ac:dyDescent="0.2">
      <c r="A25" s="8" t="s">
        <v>11</v>
      </c>
      <c r="B25" s="62">
        <v>1</v>
      </c>
      <c r="C25" s="178">
        <v>7</v>
      </c>
      <c r="D25" s="112">
        <v>43830</v>
      </c>
      <c r="E25" s="132">
        <v>365</v>
      </c>
      <c r="F25" s="63">
        <v>64240</v>
      </c>
      <c r="G25" s="144">
        <v>48601</v>
      </c>
      <c r="H25" s="64">
        <v>0.75655354919053552</v>
      </c>
      <c r="I25" s="157">
        <v>176</v>
      </c>
      <c r="J25" s="89">
        <v>176</v>
      </c>
    </row>
    <row r="26" spans="1:11" x14ac:dyDescent="0.2">
      <c r="A26" s="8" t="s">
        <v>13</v>
      </c>
      <c r="B26" s="62">
        <v>1</v>
      </c>
      <c r="C26" s="178">
        <v>7</v>
      </c>
      <c r="D26" s="112">
        <v>43830</v>
      </c>
      <c r="E26" s="132">
        <v>365</v>
      </c>
      <c r="F26" s="63">
        <v>21900</v>
      </c>
      <c r="G26" s="144">
        <v>20586</v>
      </c>
      <c r="H26" s="64">
        <v>0.94</v>
      </c>
      <c r="I26" s="157">
        <v>60</v>
      </c>
      <c r="J26" s="89">
        <v>60</v>
      </c>
    </row>
    <row r="27" spans="1:11" x14ac:dyDescent="0.2">
      <c r="A27" s="8" t="s">
        <v>195</v>
      </c>
      <c r="B27" s="62">
        <v>1</v>
      </c>
      <c r="C27" s="178">
        <v>7</v>
      </c>
      <c r="D27" s="112">
        <v>43830</v>
      </c>
      <c r="E27" s="132">
        <v>365</v>
      </c>
      <c r="F27" s="63">
        <v>43070</v>
      </c>
      <c r="G27" s="144">
        <v>37646</v>
      </c>
      <c r="H27" s="64">
        <v>0.87406547480845131</v>
      </c>
      <c r="I27" s="157">
        <v>118</v>
      </c>
      <c r="J27" s="89">
        <v>118</v>
      </c>
    </row>
    <row r="28" spans="1:11" x14ac:dyDescent="0.2">
      <c r="A28" s="8" t="s">
        <v>22</v>
      </c>
      <c r="B28" s="62">
        <v>1</v>
      </c>
      <c r="C28" s="178">
        <v>7</v>
      </c>
      <c r="D28" s="112">
        <v>43830</v>
      </c>
      <c r="E28" s="132">
        <v>365</v>
      </c>
      <c r="F28" s="63">
        <v>43800</v>
      </c>
      <c r="G28" s="144">
        <v>41686</v>
      </c>
      <c r="H28" s="64">
        <v>0.95173515981735157</v>
      </c>
      <c r="I28" s="157">
        <v>120</v>
      </c>
      <c r="J28" s="89">
        <v>120</v>
      </c>
    </row>
    <row r="29" spans="1:11" x14ac:dyDescent="0.2">
      <c r="A29" s="8" t="s">
        <v>24</v>
      </c>
      <c r="B29" s="62">
        <v>1</v>
      </c>
      <c r="C29" s="178">
        <v>7</v>
      </c>
      <c r="D29" s="112">
        <v>43830</v>
      </c>
      <c r="E29" s="132">
        <v>365</v>
      </c>
      <c r="F29" s="68">
        <v>18615</v>
      </c>
      <c r="G29" s="146">
        <v>17690</v>
      </c>
      <c r="H29" s="69">
        <v>0.95030889067955948</v>
      </c>
      <c r="I29" s="157">
        <v>51</v>
      </c>
      <c r="J29" s="89">
        <v>51</v>
      </c>
      <c r="K29" s="15" t="s">
        <v>320</v>
      </c>
    </row>
    <row r="30" spans="1:11" x14ac:dyDescent="0.2">
      <c r="A30" s="8" t="s">
        <v>25</v>
      </c>
      <c r="B30" s="62">
        <v>1</v>
      </c>
      <c r="C30" s="178">
        <v>7</v>
      </c>
      <c r="D30" s="112">
        <v>43646</v>
      </c>
      <c r="E30" s="132">
        <v>365</v>
      </c>
      <c r="F30" s="63">
        <v>25550</v>
      </c>
      <c r="G30" s="144">
        <v>25274</v>
      </c>
      <c r="H30" s="64">
        <v>0.98919765166340512</v>
      </c>
      <c r="I30" s="157">
        <v>70</v>
      </c>
      <c r="J30" s="89">
        <v>70</v>
      </c>
    </row>
    <row r="31" spans="1:11" x14ac:dyDescent="0.2">
      <c r="A31" s="8" t="s">
        <v>199</v>
      </c>
      <c r="B31" s="62">
        <v>1</v>
      </c>
      <c r="C31" s="178">
        <v>7</v>
      </c>
      <c r="D31" s="112">
        <v>43830</v>
      </c>
      <c r="E31" s="132">
        <v>365</v>
      </c>
      <c r="F31" s="63">
        <v>43800</v>
      </c>
      <c r="G31" s="144">
        <v>41300</v>
      </c>
      <c r="H31" s="64">
        <v>0.94292237442922378</v>
      </c>
      <c r="I31" s="157">
        <v>120</v>
      </c>
      <c r="J31" s="89">
        <v>120</v>
      </c>
    </row>
    <row r="32" spans="1:11" x14ac:dyDescent="0.2">
      <c r="A32" s="8" t="s">
        <v>30</v>
      </c>
      <c r="B32" s="62">
        <v>1</v>
      </c>
      <c r="C32" s="178">
        <v>7</v>
      </c>
      <c r="D32" s="112">
        <v>43830</v>
      </c>
      <c r="E32" s="132">
        <v>365</v>
      </c>
      <c r="F32" s="63">
        <v>43800</v>
      </c>
      <c r="G32" s="144">
        <v>42050</v>
      </c>
      <c r="H32" s="64">
        <v>0.96004566210045661</v>
      </c>
      <c r="I32" s="157">
        <v>120</v>
      </c>
      <c r="J32" s="89">
        <v>120</v>
      </c>
    </row>
    <row r="33" spans="1:11" x14ac:dyDescent="0.2">
      <c r="A33" s="8" t="s">
        <v>31</v>
      </c>
      <c r="B33" s="62">
        <v>1</v>
      </c>
      <c r="C33" s="178">
        <v>7</v>
      </c>
      <c r="D33" s="112">
        <v>43830</v>
      </c>
      <c r="E33" s="132">
        <v>365</v>
      </c>
      <c r="F33" s="68">
        <v>7300</v>
      </c>
      <c r="G33" s="146">
        <v>6715</v>
      </c>
      <c r="H33" s="69">
        <v>0.91986301369863011</v>
      </c>
      <c r="I33" s="157">
        <v>20</v>
      </c>
      <c r="J33" s="89">
        <v>0</v>
      </c>
      <c r="K33" s="15" t="s">
        <v>320</v>
      </c>
    </row>
    <row r="34" spans="1:11" s="12" customFormat="1" ht="11.45" customHeight="1" x14ac:dyDescent="0.25">
      <c r="A34" s="54" t="s">
        <v>322</v>
      </c>
      <c r="B34" s="72">
        <f>COUNTA(B23:B33)</f>
        <v>11</v>
      </c>
      <c r="C34" s="179"/>
      <c r="D34" s="121"/>
      <c r="E34" s="133"/>
      <c r="F34" s="29">
        <f>SUM(F23:F33)</f>
        <v>366095</v>
      </c>
      <c r="G34" s="147">
        <f>SUM(G23:G33)</f>
        <v>331186</v>
      </c>
      <c r="H34" s="161">
        <f>G34/F34</f>
        <v>0.90464496920198312</v>
      </c>
      <c r="I34" s="133">
        <f>SUM(I23:I33)</f>
        <v>1003</v>
      </c>
      <c r="J34" s="90">
        <f>SUM(J23:J33)</f>
        <v>983</v>
      </c>
      <c r="K34" s="16" t="s">
        <v>315</v>
      </c>
    </row>
    <row r="35" spans="1:11" s="14" customFormat="1" ht="11.45" customHeight="1" x14ac:dyDescent="0.25">
      <c r="A35" s="55" t="s">
        <v>316</v>
      </c>
      <c r="B35" s="176"/>
      <c r="C35" s="180"/>
      <c r="D35" s="122"/>
      <c r="E35" s="130"/>
      <c r="F35" s="13">
        <f>SUM(F23:F28,F30:F32)</f>
        <v>340180</v>
      </c>
      <c r="G35" s="148">
        <f>SUM(G23:G28,G30:G32)</f>
        <v>306781</v>
      </c>
      <c r="H35" s="39">
        <f>G35/F35</f>
        <v>0.90181962490446232</v>
      </c>
      <c r="I35" s="130"/>
      <c r="J35" s="93"/>
      <c r="K35" s="16" t="s">
        <v>315</v>
      </c>
    </row>
    <row r="36" spans="1:11" s="12" customFormat="1" ht="11.45" customHeight="1" x14ac:dyDescent="0.25">
      <c r="A36" s="56"/>
      <c r="B36" s="73"/>
      <c r="C36" s="181"/>
      <c r="D36" s="123" t="s">
        <v>317</v>
      </c>
      <c r="E36" s="134"/>
      <c r="F36" s="29"/>
      <c r="G36" s="147"/>
      <c r="H36" s="39">
        <f>MEDIAN(H23:H28,H30:H32)</f>
        <v>0.94</v>
      </c>
      <c r="I36" s="134"/>
      <c r="J36" s="94"/>
      <c r="K36" s="16" t="s">
        <v>326</v>
      </c>
    </row>
    <row r="37" spans="1:11" x14ac:dyDescent="0.2">
      <c r="F37" s="63"/>
      <c r="G37" s="144"/>
    </row>
    <row r="38" spans="1:11" x14ac:dyDescent="0.2">
      <c r="A38" s="8" t="s">
        <v>5</v>
      </c>
      <c r="B38" s="62">
        <v>1</v>
      </c>
      <c r="C38" s="178">
        <v>9</v>
      </c>
      <c r="D38" s="112">
        <v>43830</v>
      </c>
      <c r="E38" s="132">
        <v>365</v>
      </c>
      <c r="F38" s="70">
        <f>I38*E38</f>
        <v>33580</v>
      </c>
      <c r="G38" s="150">
        <v>29122</v>
      </c>
      <c r="H38" s="71">
        <f>G38/F38</f>
        <v>0.86724240619416315</v>
      </c>
      <c r="I38" s="165">
        <v>92</v>
      </c>
      <c r="J38" s="95">
        <v>92</v>
      </c>
      <c r="K38" s="32" t="s">
        <v>390</v>
      </c>
    </row>
    <row r="39" spans="1:11" x14ac:dyDescent="0.2">
      <c r="A39" s="8" t="s">
        <v>186</v>
      </c>
      <c r="B39" s="62">
        <v>1</v>
      </c>
      <c r="C39" s="178">
        <v>9</v>
      </c>
      <c r="D39" s="112">
        <v>43830</v>
      </c>
      <c r="E39" s="132">
        <v>365</v>
      </c>
      <c r="F39" s="63">
        <v>47450</v>
      </c>
      <c r="G39" s="144">
        <v>43655</v>
      </c>
      <c r="H39" s="64">
        <v>0.92002107481559536</v>
      </c>
      <c r="I39" s="157">
        <v>130</v>
      </c>
      <c r="J39" s="89">
        <v>130</v>
      </c>
    </row>
    <row r="40" spans="1:11" x14ac:dyDescent="0.2">
      <c r="A40" s="8" t="s">
        <v>191</v>
      </c>
      <c r="B40" s="62">
        <v>1</v>
      </c>
      <c r="C40" s="178">
        <v>9</v>
      </c>
      <c r="D40" s="112">
        <v>43830</v>
      </c>
      <c r="E40" s="132">
        <v>365</v>
      </c>
      <c r="F40" s="63">
        <v>65700</v>
      </c>
      <c r="G40" s="144">
        <v>61012</v>
      </c>
      <c r="H40" s="64">
        <v>0.92864535768645362</v>
      </c>
      <c r="I40" s="157">
        <v>180</v>
      </c>
      <c r="J40" s="89">
        <v>180</v>
      </c>
    </row>
    <row r="41" spans="1:11" x14ac:dyDescent="0.2">
      <c r="A41" s="8" t="s">
        <v>177</v>
      </c>
      <c r="B41" s="62">
        <v>1</v>
      </c>
      <c r="C41" s="178">
        <v>9</v>
      </c>
      <c r="D41" s="112">
        <v>43646</v>
      </c>
      <c r="E41" s="132">
        <v>365</v>
      </c>
      <c r="F41" s="63">
        <v>59860</v>
      </c>
      <c r="G41" s="144">
        <v>53885</v>
      </c>
      <c r="H41" s="64">
        <v>0.90018376211159368</v>
      </c>
      <c r="I41" s="157">
        <v>164</v>
      </c>
      <c r="J41" s="89">
        <v>164</v>
      </c>
    </row>
    <row r="42" spans="1:11" x14ac:dyDescent="0.2">
      <c r="A42" s="8" t="s">
        <v>192</v>
      </c>
      <c r="B42" s="62">
        <v>1</v>
      </c>
      <c r="C42" s="178">
        <v>9</v>
      </c>
      <c r="D42" s="112">
        <v>43830</v>
      </c>
      <c r="E42" s="132">
        <v>365</v>
      </c>
      <c r="F42" s="63">
        <v>41245</v>
      </c>
      <c r="G42" s="144">
        <v>31523</v>
      </c>
      <c r="H42" s="64">
        <v>0.76428658019153839</v>
      </c>
      <c r="I42" s="157">
        <v>113</v>
      </c>
      <c r="J42" s="89">
        <v>113</v>
      </c>
    </row>
    <row r="43" spans="1:11" x14ac:dyDescent="0.2">
      <c r="A43" s="8" t="s">
        <v>20</v>
      </c>
      <c r="B43" s="62">
        <v>1</v>
      </c>
      <c r="C43" s="178">
        <v>9</v>
      </c>
      <c r="D43" s="112">
        <v>43830</v>
      </c>
      <c r="E43" s="132">
        <v>365</v>
      </c>
      <c r="F43" s="63">
        <v>14600</v>
      </c>
      <c r="G43" s="144">
        <v>14165</v>
      </c>
      <c r="H43" s="64">
        <v>0.97020547945205482</v>
      </c>
      <c r="I43" s="157">
        <v>40</v>
      </c>
      <c r="J43" s="89">
        <v>40</v>
      </c>
    </row>
    <row r="44" spans="1:11" x14ac:dyDescent="0.2">
      <c r="A44" s="8" t="s">
        <v>29</v>
      </c>
      <c r="B44" s="62">
        <v>1</v>
      </c>
      <c r="C44" s="178">
        <v>9</v>
      </c>
      <c r="D44" s="112">
        <v>43830</v>
      </c>
      <c r="E44" s="132">
        <v>365</v>
      </c>
      <c r="F44" s="68">
        <v>17155</v>
      </c>
      <c r="G44" s="146">
        <v>14531</v>
      </c>
      <c r="H44" s="69">
        <v>0.84704167881084236</v>
      </c>
      <c r="I44" s="157">
        <v>47</v>
      </c>
      <c r="J44" s="89">
        <v>47</v>
      </c>
      <c r="K44" s="15" t="s">
        <v>320</v>
      </c>
    </row>
    <row r="45" spans="1:11" s="12" customFormat="1" ht="11.45" customHeight="1" x14ac:dyDescent="0.25">
      <c r="A45" s="54" t="s">
        <v>327</v>
      </c>
      <c r="B45" s="72">
        <f>COUNTA(B38:B44)</f>
        <v>7</v>
      </c>
      <c r="C45" s="179"/>
      <c r="D45" s="121"/>
      <c r="E45" s="133"/>
      <c r="F45" s="29">
        <f>SUM(F38:F44)</f>
        <v>279590</v>
      </c>
      <c r="G45" s="147">
        <f>SUM(G38:G44)</f>
        <v>247893</v>
      </c>
      <c r="H45" s="161">
        <f>G45/F45</f>
        <v>0.88663042311956797</v>
      </c>
      <c r="I45" s="133">
        <f>SUM(I38:I44)</f>
        <v>766</v>
      </c>
      <c r="J45" s="90">
        <f>SUM(J38:J44)</f>
        <v>766</v>
      </c>
      <c r="K45" s="16" t="s">
        <v>315</v>
      </c>
    </row>
    <row r="46" spans="1:11" s="14" customFormat="1" ht="11.45" customHeight="1" x14ac:dyDescent="0.25">
      <c r="A46" s="55" t="s">
        <v>316</v>
      </c>
      <c r="B46" s="176"/>
      <c r="C46" s="180"/>
      <c r="D46" s="122"/>
      <c r="E46" s="130"/>
      <c r="F46" s="13">
        <f>SUM(F38:F43)</f>
        <v>262435</v>
      </c>
      <c r="G46" s="148">
        <f>SUM(G38:G43)</f>
        <v>233362</v>
      </c>
      <c r="H46" s="39">
        <f>G46/F46</f>
        <v>0.88921828262236369</v>
      </c>
      <c r="I46" s="130"/>
      <c r="J46" s="93"/>
      <c r="K46" s="16" t="s">
        <v>315</v>
      </c>
    </row>
    <row r="47" spans="1:11" s="12" customFormat="1" ht="11.45" customHeight="1" x14ac:dyDescent="0.25">
      <c r="A47" s="56"/>
      <c r="B47" s="73"/>
      <c r="C47" s="181"/>
      <c r="D47" s="123" t="s">
        <v>317</v>
      </c>
      <c r="E47" s="134"/>
      <c r="F47" s="29"/>
      <c r="G47" s="147"/>
      <c r="H47" s="39">
        <f>MEDIAN(H38:H43)</f>
        <v>0.91010241846359452</v>
      </c>
      <c r="I47" s="134"/>
      <c r="J47" s="94"/>
      <c r="K47" s="16" t="s">
        <v>326</v>
      </c>
    </row>
    <row r="48" spans="1:11" x14ac:dyDescent="0.2">
      <c r="F48" s="63"/>
      <c r="G48" s="144"/>
    </row>
    <row r="49" spans="1:11" x14ac:dyDescent="0.2">
      <c r="A49" s="8" t="s">
        <v>183</v>
      </c>
      <c r="B49" s="62">
        <v>1</v>
      </c>
      <c r="C49" s="178">
        <v>10</v>
      </c>
      <c r="D49" s="112">
        <v>43830</v>
      </c>
      <c r="E49" s="132">
        <v>365</v>
      </c>
      <c r="F49" s="63">
        <v>43800</v>
      </c>
      <c r="G49" s="144">
        <v>40178</v>
      </c>
      <c r="H49" s="64">
        <v>0.91730593607305932</v>
      </c>
      <c r="I49" s="157">
        <v>120</v>
      </c>
      <c r="J49" s="89">
        <v>120</v>
      </c>
    </row>
    <row r="50" spans="1:11" x14ac:dyDescent="0.2">
      <c r="A50" s="8" t="s">
        <v>188</v>
      </c>
      <c r="B50" s="62">
        <v>1</v>
      </c>
      <c r="C50" s="178">
        <v>10</v>
      </c>
      <c r="D50" s="112">
        <v>43830</v>
      </c>
      <c r="E50" s="132">
        <v>365</v>
      </c>
      <c r="F50" s="63">
        <v>52195</v>
      </c>
      <c r="G50" s="144">
        <v>48624</v>
      </c>
      <c r="H50" s="64">
        <v>0.93158348500814259</v>
      </c>
      <c r="I50" s="165">
        <v>143</v>
      </c>
      <c r="J50" s="95">
        <v>143</v>
      </c>
      <c r="K50" s="32"/>
    </row>
    <row r="51" spans="1:11" x14ac:dyDescent="0.2">
      <c r="A51" s="8" t="s">
        <v>189</v>
      </c>
      <c r="B51" s="62">
        <v>1</v>
      </c>
      <c r="C51" s="178">
        <v>10</v>
      </c>
      <c r="D51" s="112">
        <v>43830</v>
      </c>
      <c r="E51" s="132">
        <v>365</v>
      </c>
      <c r="F51" s="63">
        <v>38325</v>
      </c>
      <c r="G51" s="144">
        <v>33880</v>
      </c>
      <c r="H51" s="64">
        <v>0.88401826484018264</v>
      </c>
      <c r="I51" s="157">
        <v>105</v>
      </c>
      <c r="J51" s="89">
        <v>105</v>
      </c>
    </row>
    <row r="52" spans="1:11" x14ac:dyDescent="0.2">
      <c r="A52" s="8" t="s">
        <v>190</v>
      </c>
      <c r="B52" s="62">
        <v>1</v>
      </c>
      <c r="C52" s="178">
        <v>10</v>
      </c>
      <c r="D52" s="112">
        <v>43830</v>
      </c>
      <c r="E52" s="132">
        <v>365</v>
      </c>
      <c r="F52" s="68">
        <v>12410</v>
      </c>
      <c r="G52" s="146">
        <v>6810</v>
      </c>
      <c r="H52" s="69">
        <v>0.54875100725221593</v>
      </c>
      <c r="I52" s="157">
        <v>34</v>
      </c>
      <c r="J52" s="89">
        <v>4</v>
      </c>
      <c r="K52" s="15" t="s">
        <v>320</v>
      </c>
    </row>
    <row r="53" spans="1:11" x14ac:dyDescent="0.2">
      <c r="A53" s="8" t="s">
        <v>8</v>
      </c>
      <c r="B53" s="62">
        <v>1</v>
      </c>
      <c r="C53" s="178">
        <v>10</v>
      </c>
      <c r="D53" s="112">
        <v>43830</v>
      </c>
      <c r="E53" s="132">
        <v>365</v>
      </c>
      <c r="F53" s="63">
        <v>21900</v>
      </c>
      <c r="G53" s="144">
        <v>20237</v>
      </c>
      <c r="H53" s="64">
        <v>0.92406392694063932</v>
      </c>
      <c r="I53" s="157">
        <v>60</v>
      </c>
      <c r="J53" s="89">
        <v>60</v>
      </c>
    </row>
    <row r="54" spans="1:11" x14ac:dyDescent="0.2">
      <c r="A54" s="8" t="s">
        <v>193</v>
      </c>
      <c r="B54" s="62">
        <v>1</v>
      </c>
      <c r="C54" s="178">
        <v>10</v>
      </c>
      <c r="D54" s="112">
        <v>43830</v>
      </c>
      <c r="E54" s="132">
        <v>365</v>
      </c>
      <c r="F54" s="63">
        <v>32850</v>
      </c>
      <c r="G54" s="144">
        <v>29895</v>
      </c>
      <c r="H54" s="64">
        <v>0.91004566210045668</v>
      </c>
      <c r="I54" s="157">
        <v>90</v>
      </c>
      <c r="J54" s="89">
        <v>90</v>
      </c>
      <c r="K54" s="15" t="s">
        <v>396</v>
      </c>
    </row>
    <row r="55" spans="1:11" x14ac:dyDescent="0.2">
      <c r="A55" s="8" t="s">
        <v>18</v>
      </c>
      <c r="B55" s="62">
        <v>1</v>
      </c>
      <c r="C55" s="178">
        <v>10</v>
      </c>
      <c r="D55" s="112">
        <v>43830</v>
      </c>
      <c r="E55" s="132">
        <v>365</v>
      </c>
      <c r="F55" s="63">
        <v>43800</v>
      </c>
      <c r="G55" s="144">
        <v>40659</v>
      </c>
      <c r="H55" s="64">
        <v>0.9282876712328767</v>
      </c>
      <c r="I55" s="157">
        <v>120</v>
      </c>
      <c r="J55" s="89">
        <v>120</v>
      </c>
    </row>
    <row r="56" spans="1:11" x14ac:dyDescent="0.2">
      <c r="A56" s="8" t="s">
        <v>196</v>
      </c>
      <c r="B56" s="62">
        <v>1</v>
      </c>
      <c r="C56" s="178">
        <v>10</v>
      </c>
      <c r="D56" s="112">
        <v>43830</v>
      </c>
      <c r="E56" s="132">
        <v>365</v>
      </c>
      <c r="F56" s="63">
        <v>32850</v>
      </c>
      <c r="G56" s="144">
        <v>28757</v>
      </c>
      <c r="H56" s="64">
        <v>0.87540334855403346</v>
      </c>
      <c r="I56" s="157">
        <v>90</v>
      </c>
      <c r="J56" s="89">
        <v>90</v>
      </c>
    </row>
    <row r="57" spans="1:11" x14ac:dyDescent="0.2">
      <c r="A57" s="8" t="s">
        <v>19</v>
      </c>
      <c r="B57" s="62">
        <v>1</v>
      </c>
      <c r="C57" s="178">
        <v>10</v>
      </c>
      <c r="D57" s="112">
        <v>43738</v>
      </c>
      <c r="E57" s="132">
        <v>365</v>
      </c>
      <c r="F57" s="66">
        <v>10220</v>
      </c>
      <c r="G57" s="145">
        <v>8760</v>
      </c>
      <c r="H57" s="67">
        <v>0.8571428571428571</v>
      </c>
      <c r="I57" s="157">
        <v>28</v>
      </c>
      <c r="J57" s="89">
        <v>0</v>
      </c>
      <c r="K57" s="15" t="s">
        <v>318</v>
      </c>
    </row>
    <row r="58" spans="1:11" x14ac:dyDescent="0.2">
      <c r="A58" s="8" t="s">
        <v>197</v>
      </c>
      <c r="B58" s="62">
        <v>1</v>
      </c>
      <c r="C58" s="178">
        <v>10</v>
      </c>
      <c r="D58" s="112">
        <v>43830</v>
      </c>
      <c r="E58" s="132">
        <v>365</v>
      </c>
      <c r="F58" s="63">
        <v>65700</v>
      </c>
      <c r="G58" s="144">
        <v>52402</v>
      </c>
      <c r="H58" s="64">
        <v>0.79759512937595134</v>
      </c>
      <c r="I58" s="157">
        <v>180</v>
      </c>
      <c r="J58" s="89">
        <v>180</v>
      </c>
    </row>
    <row r="59" spans="1:11" x14ac:dyDescent="0.2">
      <c r="A59" s="8" t="s">
        <v>21</v>
      </c>
      <c r="B59" s="62">
        <v>1</v>
      </c>
      <c r="C59" s="178">
        <v>10</v>
      </c>
      <c r="D59" s="112">
        <v>43646</v>
      </c>
      <c r="E59" s="132">
        <v>365</v>
      </c>
      <c r="F59" s="63">
        <v>10950</v>
      </c>
      <c r="G59" s="144">
        <v>10788</v>
      </c>
      <c r="H59" s="64">
        <v>0.98520547945205483</v>
      </c>
      <c r="I59" s="157">
        <v>30</v>
      </c>
      <c r="J59" s="89">
        <v>30</v>
      </c>
    </row>
    <row r="60" spans="1:11" x14ac:dyDescent="0.2">
      <c r="A60" s="8" t="s">
        <v>33</v>
      </c>
      <c r="B60" s="62">
        <v>1</v>
      </c>
      <c r="C60" s="178">
        <v>10</v>
      </c>
      <c r="D60" s="112">
        <v>43646</v>
      </c>
      <c r="E60" s="132">
        <v>365</v>
      </c>
      <c r="F60" s="68">
        <v>18980</v>
      </c>
      <c r="G60" s="146">
        <v>17114</v>
      </c>
      <c r="H60" s="69">
        <v>0.90168598524762911</v>
      </c>
      <c r="I60" s="157">
        <v>52</v>
      </c>
      <c r="J60" s="89">
        <v>0</v>
      </c>
      <c r="K60" s="15" t="s">
        <v>320</v>
      </c>
    </row>
    <row r="61" spans="1:11" s="12" customFormat="1" ht="11.45" customHeight="1" x14ac:dyDescent="0.25">
      <c r="A61" s="54" t="s">
        <v>328</v>
      </c>
      <c r="B61" s="72">
        <f>COUNTA(B49:B60)</f>
        <v>12</v>
      </c>
      <c r="C61" s="179"/>
      <c r="D61" s="121"/>
      <c r="E61" s="133"/>
      <c r="F61" s="29">
        <f>SUM(F49:F60)</f>
        <v>383980</v>
      </c>
      <c r="G61" s="147">
        <f>SUM(G49:G60)</f>
        <v>338104</v>
      </c>
      <c r="H61" s="161">
        <f>G61/F61</f>
        <v>0.88052502734517424</v>
      </c>
      <c r="I61" s="133">
        <f>SUM(I49:I60)</f>
        <v>1052</v>
      </c>
      <c r="J61" s="90">
        <f>SUM(J49:J60)</f>
        <v>942</v>
      </c>
      <c r="K61" s="16" t="s">
        <v>323</v>
      </c>
    </row>
    <row r="62" spans="1:11" s="14" customFormat="1" ht="11.45" customHeight="1" x14ac:dyDescent="0.25">
      <c r="A62" s="55" t="s">
        <v>316</v>
      </c>
      <c r="B62" s="176"/>
      <c r="C62" s="180"/>
      <c r="D62" s="122"/>
      <c r="E62" s="130"/>
      <c r="F62" s="13">
        <f>SUM(F49:F51,F53:F56,F58:F59)</f>
        <v>342370</v>
      </c>
      <c r="G62" s="148">
        <f>SUM(G49:G51,G53:G56,G58:G59)</f>
        <v>305420</v>
      </c>
      <c r="H62" s="39">
        <f>G62/F62</f>
        <v>0.89207582440050237</v>
      </c>
      <c r="I62" s="130"/>
      <c r="J62" s="93"/>
      <c r="K62" s="16" t="s">
        <v>323</v>
      </c>
    </row>
    <row r="63" spans="1:11" s="12" customFormat="1" ht="11.45" customHeight="1" x14ac:dyDescent="0.25">
      <c r="A63" s="56"/>
      <c r="B63" s="73"/>
      <c r="C63" s="181"/>
      <c r="D63" s="123" t="s">
        <v>317</v>
      </c>
      <c r="E63" s="134"/>
      <c r="F63" s="29"/>
      <c r="G63" s="147"/>
      <c r="H63" s="39">
        <f>MEDIAN(H49:H51,H53:H56,H58:H59)</f>
        <v>0.91730593607305932</v>
      </c>
      <c r="I63" s="134"/>
      <c r="J63" s="94"/>
      <c r="K63" s="16" t="s">
        <v>329</v>
      </c>
    </row>
    <row r="64" spans="1:11" x14ac:dyDescent="0.2">
      <c r="F64" s="63"/>
      <c r="G64" s="144"/>
    </row>
    <row r="65" spans="1:11" x14ac:dyDescent="0.2">
      <c r="A65" s="8" t="s">
        <v>185</v>
      </c>
      <c r="B65" s="62">
        <v>1</v>
      </c>
      <c r="C65" s="178">
        <v>16</v>
      </c>
      <c r="D65" s="112">
        <v>43830</v>
      </c>
      <c r="E65" s="132">
        <v>365</v>
      </c>
      <c r="F65" s="63">
        <v>43800</v>
      </c>
      <c r="G65" s="144">
        <v>40747</v>
      </c>
      <c r="H65" s="64">
        <v>0.93029680365296807</v>
      </c>
      <c r="I65" s="157">
        <v>120</v>
      </c>
      <c r="J65" s="89">
        <v>120</v>
      </c>
    </row>
    <row r="66" spans="1:11" x14ac:dyDescent="0.2">
      <c r="A66" s="8" t="s">
        <v>187</v>
      </c>
      <c r="B66" s="62">
        <v>1</v>
      </c>
      <c r="C66" s="178">
        <v>16</v>
      </c>
      <c r="D66" s="112">
        <v>43830</v>
      </c>
      <c r="E66" s="132">
        <v>365</v>
      </c>
      <c r="F66" s="63">
        <v>54750</v>
      </c>
      <c r="G66" s="144">
        <v>50976</v>
      </c>
      <c r="H66" s="64">
        <v>0.93106849315068496</v>
      </c>
      <c r="I66" s="157">
        <v>150</v>
      </c>
      <c r="J66" s="89">
        <v>150</v>
      </c>
    </row>
    <row r="67" spans="1:11" x14ac:dyDescent="0.2">
      <c r="A67" s="8" t="s">
        <v>12</v>
      </c>
      <c r="B67" s="62">
        <v>1</v>
      </c>
      <c r="C67" s="178">
        <v>16</v>
      </c>
      <c r="D67" s="112">
        <v>43830</v>
      </c>
      <c r="E67" s="132">
        <v>365</v>
      </c>
      <c r="F67" s="63">
        <v>64605</v>
      </c>
      <c r="G67" s="144">
        <v>41696</v>
      </c>
      <c r="H67" s="64">
        <v>0.64539896292856591</v>
      </c>
      <c r="I67" s="157">
        <v>177</v>
      </c>
      <c r="J67" s="89">
        <v>177</v>
      </c>
    </row>
    <row r="68" spans="1:11" x14ac:dyDescent="0.2">
      <c r="A68" s="8" t="s">
        <v>14</v>
      </c>
      <c r="B68" s="62">
        <v>1</v>
      </c>
      <c r="C68" s="178">
        <v>16</v>
      </c>
      <c r="D68" s="112">
        <v>43830</v>
      </c>
      <c r="E68" s="132">
        <v>365</v>
      </c>
      <c r="F68" s="63">
        <v>47450</v>
      </c>
      <c r="G68" s="144">
        <v>37080</v>
      </c>
      <c r="H68" s="64">
        <v>0.78145416227608011</v>
      </c>
      <c r="I68" s="157">
        <v>130</v>
      </c>
      <c r="J68" s="89">
        <v>130</v>
      </c>
    </row>
    <row r="69" spans="1:11" x14ac:dyDescent="0.2">
      <c r="A69" s="8" t="s">
        <v>26</v>
      </c>
      <c r="B69" s="62">
        <v>1</v>
      </c>
      <c r="C69" s="178">
        <v>16</v>
      </c>
      <c r="D69" s="112">
        <v>43830</v>
      </c>
      <c r="E69" s="132">
        <v>365</v>
      </c>
      <c r="F69" s="63">
        <v>32850</v>
      </c>
      <c r="G69" s="144">
        <v>29639</v>
      </c>
      <c r="H69" s="64">
        <v>0.90225266362252665</v>
      </c>
      <c r="I69" s="157">
        <v>90</v>
      </c>
      <c r="J69" s="89">
        <v>90</v>
      </c>
    </row>
    <row r="70" spans="1:11" x14ac:dyDescent="0.2">
      <c r="A70" s="8" t="s">
        <v>201</v>
      </c>
      <c r="B70" s="62">
        <v>1</v>
      </c>
      <c r="C70" s="178">
        <v>16</v>
      </c>
      <c r="D70" s="112">
        <v>43830</v>
      </c>
      <c r="E70" s="132">
        <v>365</v>
      </c>
      <c r="F70" s="63">
        <v>43070</v>
      </c>
      <c r="G70" s="144">
        <v>36600</v>
      </c>
      <c r="H70" s="64">
        <v>0.84977942883677737</v>
      </c>
      <c r="I70" s="157">
        <v>118</v>
      </c>
      <c r="J70" s="89">
        <v>118</v>
      </c>
    </row>
    <row r="71" spans="1:11" s="12" customFormat="1" ht="11.45" customHeight="1" x14ac:dyDescent="0.25">
      <c r="A71" s="54" t="s">
        <v>330</v>
      </c>
      <c r="B71" s="72">
        <f>COUNTA(B65:B70)</f>
        <v>6</v>
      </c>
      <c r="C71" s="179"/>
      <c r="D71" s="121"/>
      <c r="E71" s="133"/>
      <c r="F71" s="29">
        <f>SUM(F65:F70)</f>
        <v>286525</v>
      </c>
      <c r="G71" s="147">
        <f>SUM(G65:G70)</f>
        <v>236738</v>
      </c>
      <c r="H71" s="161">
        <f>G71/F71</f>
        <v>0.82623854811971031</v>
      </c>
      <c r="I71" s="133">
        <f t="shared" ref="I71" si="0">SUM(I65:I70)</f>
        <v>785</v>
      </c>
      <c r="J71" s="90">
        <f t="shared" ref="J71" si="1">SUM(J65:J70)</f>
        <v>785</v>
      </c>
      <c r="K71" s="16" t="s">
        <v>315</v>
      </c>
    </row>
    <row r="72" spans="1:11" s="14" customFormat="1" ht="11.45" customHeight="1" x14ac:dyDescent="0.25">
      <c r="A72" s="55" t="s">
        <v>316</v>
      </c>
      <c r="B72" s="176"/>
      <c r="C72" s="180"/>
      <c r="D72" s="122"/>
      <c r="E72" s="130"/>
      <c r="F72" s="13">
        <f>SUM(F65:F70)</f>
        <v>286525</v>
      </c>
      <c r="G72" s="148">
        <f>SUM(G65:G70)</f>
        <v>236738</v>
      </c>
      <c r="H72" s="39">
        <f>G72/F72</f>
        <v>0.82623854811971031</v>
      </c>
      <c r="I72" s="130"/>
      <c r="J72" s="93"/>
      <c r="K72" s="16" t="s">
        <v>315</v>
      </c>
    </row>
    <row r="73" spans="1:11" s="12" customFormat="1" ht="11.45" customHeight="1" x14ac:dyDescent="0.25">
      <c r="A73" s="56"/>
      <c r="B73" s="73"/>
      <c r="C73" s="181"/>
      <c r="D73" s="123" t="s">
        <v>317</v>
      </c>
      <c r="E73" s="134"/>
      <c r="F73" s="29"/>
      <c r="G73" s="147"/>
      <c r="H73" s="39">
        <f>MEDIAN(H65:H70)</f>
        <v>0.87601604622965201</v>
      </c>
      <c r="I73" s="134"/>
      <c r="J73" s="94"/>
      <c r="K73" s="16" t="s">
        <v>326</v>
      </c>
    </row>
    <row r="74" spans="1:11" x14ac:dyDescent="0.2">
      <c r="F74" s="63"/>
      <c r="G74" s="144"/>
    </row>
    <row r="75" spans="1:11" s="12" customFormat="1" ht="11.45" customHeight="1" x14ac:dyDescent="0.25">
      <c r="A75" s="54" t="s">
        <v>331</v>
      </c>
      <c r="B75" s="72">
        <f>SUM(B19,B34,B45,B61,B71)</f>
        <v>52</v>
      </c>
      <c r="C75" s="179"/>
      <c r="D75" s="121"/>
      <c r="E75" s="133"/>
      <c r="F75" s="17">
        <f>SUM(F19,F34,F45,F61,F71)</f>
        <v>1824244</v>
      </c>
      <c r="G75" s="151">
        <f>SUM(G19,G34,G45,G61,G71)</f>
        <v>1617477</v>
      </c>
      <c r="H75" s="161">
        <f>G75/F75</f>
        <v>0.8866560613602128</v>
      </c>
      <c r="I75" s="166">
        <f>SUM(I19,I34,I45,I61,I71)</f>
        <v>5110</v>
      </c>
      <c r="J75" s="90">
        <f>SUM(J19,J34,J45,J61,J71)</f>
        <v>4953</v>
      </c>
      <c r="K75" s="16" t="s">
        <v>315</v>
      </c>
    </row>
    <row r="76" spans="1:11" s="12" customFormat="1" ht="11.45" customHeight="1" x14ac:dyDescent="0.25">
      <c r="A76" s="55" t="s">
        <v>316</v>
      </c>
      <c r="B76" s="73"/>
      <c r="C76" s="181"/>
      <c r="D76" s="124"/>
      <c r="E76" s="134"/>
      <c r="F76" s="18">
        <f>SUM(F20,F35,F46,F62,F72)</f>
        <v>1696129</v>
      </c>
      <c r="G76" s="152">
        <f>SUM(G20,G35,G46,G62,G72)</f>
        <v>1506821</v>
      </c>
      <c r="H76" s="39">
        <f>G76/F76</f>
        <v>0.88838820632157101</v>
      </c>
      <c r="I76" s="134"/>
      <c r="J76" s="94"/>
      <c r="K76" s="16" t="s">
        <v>315</v>
      </c>
    </row>
    <row r="77" spans="1:11" s="21" customFormat="1" ht="11.45" customHeight="1" x14ac:dyDescent="0.25">
      <c r="A77" s="19" t="s">
        <v>332</v>
      </c>
      <c r="B77" s="74">
        <f>COUNT(B11,B16,B17,B18,B29,B33,B44,B52,B60)</f>
        <v>9</v>
      </c>
      <c r="C77" s="182">
        <f>COUNT(C11,C16,C17,C18,C29,C44,C52)</f>
        <v>7</v>
      </c>
      <c r="D77" s="125"/>
      <c r="E77" s="135"/>
      <c r="F77" s="25">
        <f>SUM(F11,F16,F17,F18,F29,F33,F44,F52,F60)</f>
        <v>177390</v>
      </c>
      <c r="G77" s="152">
        <f>SUM(G11,G16,G17,G18,G29,G33,G44,G52,G60)</f>
        <v>153345</v>
      </c>
      <c r="H77" s="162">
        <f>G77/F77</f>
        <v>0.86445120920006768</v>
      </c>
      <c r="I77" s="135">
        <f>SUM(I11,I16,I17,I18,I29,I33,I44,I52,I60)</f>
        <v>486</v>
      </c>
      <c r="J77" s="96">
        <f>SUM(J11,J16,J17,J18,J29,J33,J44,J52,J60)</f>
        <v>374</v>
      </c>
      <c r="K77" s="16" t="s">
        <v>315</v>
      </c>
    </row>
    <row r="78" spans="1:11" s="10" customFormat="1" x14ac:dyDescent="0.2">
      <c r="A78" s="9"/>
      <c r="B78" s="75"/>
      <c r="C78" s="183"/>
      <c r="D78" s="113"/>
      <c r="E78" s="136"/>
      <c r="F78" s="76"/>
      <c r="G78" s="153"/>
      <c r="H78" s="77"/>
      <c r="I78" s="153"/>
      <c r="J78" s="97"/>
      <c r="K78" s="22"/>
    </row>
    <row r="79" spans="1:11" s="10" customFormat="1" x14ac:dyDescent="0.2">
      <c r="A79" s="9"/>
      <c r="B79" s="75"/>
      <c r="C79" s="183"/>
      <c r="D79" s="113"/>
      <c r="E79" s="136"/>
      <c r="F79" s="76"/>
      <c r="G79" s="153"/>
      <c r="H79" s="77"/>
      <c r="I79" s="153"/>
      <c r="J79" s="97"/>
      <c r="K79" s="22"/>
    </row>
    <row r="80" spans="1:11" x14ac:dyDescent="0.2">
      <c r="A80" s="8" t="s">
        <v>202</v>
      </c>
      <c r="B80" s="62">
        <v>2</v>
      </c>
      <c r="C80" s="178">
        <v>8</v>
      </c>
      <c r="D80" s="112">
        <v>43830</v>
      </c>
      <c r="E80" s="132">
        <v>365</v>
      </c>
      <c r="F80" s="63">
        <v>81030</v>
      </c>
      <c r="G80" s="144">
        <v>74227</v>
      </c>
      <c r="H80" s="64">
        <v>0.91604344070097499</v>
      </c>
      <c r="I80" s="157">
        <v>222</v>
      </c>
      <c r="J80" s="89">
        <v>222</v>
      </c>
    </row>
    <row r="81" spans="1:11" x14ac:dyDescent="0.2">
      <c r="A81" s="8" t="s">
        <v>34</v>
      </c>
      <c r="B81" s="62">
        <v>2</v>
      </c>
      <c r="C81" s="178">
        <v>8</v>
      </c>
      <c r="D81" s="112">
        <v>43830</v>
      </c>
      <c r="E81" s="132">
        <v>365</v>
      </c>
      <c r="F81" s="68">
        <v>16060</v>
      </c>
      <c r="G81" s="146">
        <v>14870</v>
      </c>
      <c r="H81" s="69">
        <v>0.92590286425902868</v>
      </c>
      <c r="I81" s="157">
        <v>44</v>
      </c>
      <c r="J81" s="89">
        <v>0</v>
      </c>
      <c r="K81" s="15" t="s">
        <v>320</v>
      </c>
    </row>
    <row r="82" spans="1:11" x14ac:dyDescent="0.2">
      <c r="A82" s="8" t="s">
        <v>35</v>
      </c>
      <c r="B82" s="62">
        <v>2</v>
      </c>
      <c r="C82" s="178">
        <v>8</v>
      </c>
      <c r="D82" s="112">
        <v>43646</v>
      </c>
      <c r="E82" s="132">
        <v>365</v>
      </c>
      <c r="F82" s="63">
        <v>65700</v>
      </c>
      <c r="G82" s="144">
        <v>63886</v>
      </c>
      <c r="H82" s="64">
        <v>0.97238964992389654</v>
      </c>
      <c r="I82" s="157">
        <v>180</v>
      </c>
      <c r="J82" s="89">
        <v>180</v>
      </c>
    </row>
    <row r="83" spans="1:11" x14ac:dyDescent="0.2">
      <c r="A83" s="8" t="s">
        <v>203</v>
      </c>
      <c r="B83" s="62">
        <v>2</v>
      </c>
      <c r="C83" s="178">
        <v>8</v>
      </c>
      <c r="D83" s="112">
        <v>43830</v>
      </c>
      <c r="E83" s="132">
        <v>365</v>
      </c>
      <c r="F83" s="63">
        <v>43800</v>
      </c>
      <c r="G83" s="144">
        <v>41323</v>
      </c>
      <c r="H83" s="64">
        <v>0.94344748858447491</v>
      </c>
      <c r="I83" s="157">
        <v>120</v>
      </c>
      <c r="J83" s="89">
        <v>120</v>
      </c>
    </row>
    <row r="84" spans="1:11" x14ac:dyDescent="0.2">
      <c r="A84" s="8" t="s">
        <v>204</v>
      </c>
      <c r="B84" s="62">
        <v>2</v>
      </c>
      <c r="C84" s="178">
        <v>8</v>
      </c>
      <c r="D84" s="112">
        <v>43830</v>
      </c>
      <c r="E84" s="132">
        <v>365</v>
      </c>
      <c r="F84" s="63">
        <v>65700</v>
      </c>
      <c r="G84" s="144">
        <v>59191</v>
      </c>
      <c r="H84" s="64">
        <v>0.90092846270928462</v>
      </c>
      <c r="I84" s="157">
        <v>180</v>
      </c>
      <c r="J84" s="89">
        <v>180</v>
      </c>
    </row>
    <row r="85" spans="1:11" x14ac:dyDescent="0.2">
      <c r="A85" s="8" t="s">
        <v>205</v>
      </c>
      <c r="B85" s="62">
        <v>2</v>
      </c>
      <c r="C85" s="178">
        <v>8</v>
      </c>
      <c r="D85" s="112">
        <v>43830</v>
      </c>
      <c r="E85" s="132">
        <v>365</v>
      </c>
      <c r="F85" s="63">
        <v>60590</v>
      </c>
      <c r="G85" s="144">
        <v>56071</v>
      </c>
      <c r="H85" s="64">
        <v>0.92541673543489023</v>
      </c>
      <c r="I85" s="157">
        <v>166</v>
      </c>
      <c r="J85" s="89">
        <v>166</v>
      </c>
    </row>
    <row r="86" spans="1:11" x14ac:dyDescent="0.2">
      <c r="A86" s="8" t="s">
        <v>36</v>
      </c>
      <c r="B86" s="62">
        <v>2</v>
      </c>
      <c r="C86" s="178">
        <v>8</v>
      </c>
      <c r="D86" s="112">
        <v>43830</v>
      </c>
      <c r="E86" s="132">
        <v>139</v>
      </c>
      <c r="F86" s="63">
        <v>18070</v>
      </c>
      <c r="G86" s="144">
        <v>14786</v>
      </c>
      <c r="H86" s="64">
        <v>0.81826231322634202</v>
      </c>
      <c r="I86" s="157">
        <v>130</v>
      </c>
      <c r="J86" s="89">
        <v>108</v>
      </c>
      <c r="K86" s="15" t="s">
        <v>398</v>
      </c>
    </row>
    <row r="87" spans="1:11" x14ac:dyDescent="0.2">
      <c r="A87" s="8" t="s">
        <v>37</v>
      </c>
      <c r="B87" s="62">
        <v>2</v>
      </c>
      <c r="C87" s="178">
        <v>8</v>
      </c>
      <c r="D87" s="112">
        <v>43830</v>
      </c>
      <c r="E87" s="132">
        <v>365</v>
      </c>
      <c r="F87" s="63">
        <v>43800</v>
      </c>
      <c r="G87" s="144">
        <v>37536</v>
      </c>
      <c r="H87" s="64">
        <v>0.85698630136986298</v>
      </c>
      <c r="I87" s="157">
        <v>120</v>
      </c>
      <c r="J87" s="89">
        <v>120</v>
      </c>
    </row>
    <row r="88" spans="1:11" x14ac:dyDescent="0.2">
      <c r="A88" s="8" t="s">
        <v>38</v>
      </c>
      <c r="B88" s="62">
        <v>2</v>
      </c>
      <c r="C88" s="178">
        <v>8</v>
      </c>
      <c r="D88" s="112">
        <v>43830</v>
      </c>
      <c r="E88" s="132">
        <v>365</v>
      </c>
      <c r="F88" s="63">
        <v>40515</v>
      </c>
      <c r="G88" s="144">
        <v>36859</v>
      </c>
      <c r="H88" s="64">
        <v>0.90976181661113165</v>
      </c>
      <c r="I88" s="157">
        <v>111</v>
      </c>
      <c r="J88" s="89">
        <v>111</v>
      </c>
    </row>
    <row r="89" spans="1:11" x14ac:dyDescent="0.2">
      <c r="A89" s="8" t="s">
        <v>206</v>
      </c>
      <c r="B89" s="62">
        <v>2</v>
      </c>
      <c r="C89" s="178">
        <v>8</v>
      </c>
      <c r="D89" s="112">
        <v>43830</v>
      </c>
      <c r="E89" s="132">
        <v>365</v>
      </c>
      <c r="F89" s="63">
        <v>73000</v>
      </c>
      <c r="G89" s="144">
        <v>68224</v>
      </c>
      <c r="H89" s="64">
        <v>0.93457534246575347</v>
      </c>
      <c r="I89" s="157">
        <v>200</v>
      </c>
      <c r="J89" s="89">
        <v>134</v>
      </c>
    </row>
    <row r="90" spans="1:11" x14ac:dyDescent="0.2">
      <c r="A90" s="8" t="s">
        <v>399</v>
      </c>
      <c r="B90" s="62">
        <v>2</v>
      </c>
      <c r="C90" s="178">
        <v>8</v>
      </c>
      <c r="D90" s="112">
        <v>43830</v>
      </c>
      <c r="E90" s="132">
        <v>365</v>
      </c>
      <c r="F90" s="68">
        <v>21900</v>
      </c>
      <c r="G90" s="146">
        <v>19306</v>
      </c>
      <c r="H90" s="69">
        <v>0.88155251141552515</v>
      </c>
      <c r="I90" s="157">
        <v>60</v>
      </c>
      <c r="J90" s="89">
        <v>0</v>
      </c>
      <c r="K90" s="15" t="s">
        <v>320</v>
      </c>
    </row>
    <row r="91" spans="1:11" x14ac:dyDescent="0.2">
      <c r="A91" s="31" t="s">
        <v>336</v>
      </c>
      <c r="B91" s="62">
        <v>2</v>
      </c>
      <c r="C91" s="178">
        <v>8</v>
      </c>
      <c r="F91" s="68"/>
      <c r="G91" s="146" t="s">
        <v>386</v>
      </c>
      <c r="H91" s="69"/>
      <c r="I91" s="157">
        <v>68</v>
      </c>
      <c r="J91" s="89">
        <v>9</v>
      </c>
      <c r="K91" s="15" t="s">
        <v>320</v>
      </c>
    </row>
    <row r="92" spans="1:11" x14ac:dyDescent="0.2">
      <c r="A92" s="8" t="s">
        <v>207</v>
      </c>
      <c r="B92" s="62">
        <v>2</v>
      </c>
      <c r="C92" s="178">
        <v>8</v>
      </c>
      <c r="D92" s="112">
        <v>43830</v>
      </c>
      <c r="E92" s="132">
        <v>365</v>
      </c>
      <c r="F92" s="63">
        <v>43800</v>
      </c>
      <c r="G92" s="144">
        <v>41256</v>
      </c>
      <c r="H92" s="64">
        <v>0.94191780821917803</v>
      </c>
      <c r="I92" s="157">
        <v>120</v>
      </c>
      <c r="J92" s="89">
        <v>120</v>
      </c>
    </row>
    <row r="93" spans="1:11" x14ac:dyDescent="0.2">
      <c r="A93" s="8" t="s">
        <v>39</v>
      </c>
      <c r="B93" s="62">
        <v>2</v>
      </c>
      <c r="C93" s="178">
        <v>8</v>
      </c>
      <c r="D93" s="112">
        <v>43738</v>
      </c>
      <c r="E93" s="132">
        <v>365</v>
      </c>
      <c r="F93" s="68">
        <v>29200</v>
      </c>
      <c r="G93" s="146">
        <v>27646</v>
      </c>
      <c r="H93" s="69">
        <v>0.94678082191780821</v>
      </c>
      <c r="I93" s="157">
        <v>80</v>
      </c>
      <c r="J93" s="89">
        <v>80</v>
      </c>
      <c r="K93" s="15" t="s">
        <v>320</v>
      </c>
    </row>
    <row r="94" spans="1:11" x14ac:dyDescent="0.2">
      <c r="A94" s="8" t="s">
        <v>40</v>
      </c>
      <c r="B94" s="62">
        <v>2</v>
      </c>
      <c r="C94" s="178">
        <v>8</v>
      </c>
      <c r="D94" s="112">
        <v>43738</v>
      </c>
      <c r="E94" s="132">
        <v>365</v>
      </c>
      <c r="F94" s="68">
        <v>26645</v>
      </c>
      <c r="G94" s="146">
        <v>23971</v>
      </c>
      <c r="H94" s="69">
        <v>0.89964346031150311</v>
      </c>
      <c r="I94" s="157">
        <v>73</v>
      </c>
      <c r="J94" s="89">
        <v>73</v>
      </c>
      <c r="K94" s="15" t="s">
        <v>320</v>
      </c>
    </row>
    <row r="95" spans="1:11" x14ac:dyDescent="0.2">
      <c r="A95" s="31" t="s">
        <v>335</v>
      </c>
      <c r="B95" s="62">
        <v>2</v>
      </c>
      <c r="C95" s="178">
        <v>8</v>
      </c>
      <c r="F95" s="68"/>
      <c r="G95" s="146" t="s">
        <v>386</v>
      </c>
      <c r="H95" s="69"/>
      <c r="I95" s="157">
        <v>136</v>
      </c>
      <c r="J95" s="89">
        <v>136</v>
      </c>
      <c r="K95" s="15" t="s">
        <v>320</v>
      </c>
    </row>
    <row r="96" spans="1:11" x14ac:dyDescent="0.2">
      <c r="A96" s="8" t="s">
        <v>41</v>
      </c>
      <c r="B96" s="62">
        <v>2</v>
      </c>
      <c r="C96" s="178">
        <v>8</v>
      </c>
      <c r="D96" s="112">
        <v>43830</v>
      </c>
      <c r="E96" s="132">
        <v>365</v>
      </c>
      <c r="F96" s="63">
        <v>59860</v>
      </c>
      <c r="G96" s="144">
        <v>53030</v>
      </c>
      <c r="H96" s="64">
        <v>0.88590043434680921</v>
      </c>
      <c r="I96" s="157">
        <v>164</v>
      </c>
      <c r="J96" s="89">
        <v>164</v>
      </c>
    </row>
    <row r="97" spans="1:11" x14ac:dyDescent="0.2">
      <c r="A97" s="8" t="s">
        <v>42</v>
      </c>
      <c r="B97" s="62">
        <v>2</v>
      </c>
      <c r="C97" s="178">
        <v>8</v>
      </c>
      <c r="D97" s="112">
        <v>43616</v>
      </c>
      <c r="E97" s="132">
        <v>365</v>
      </c>
      <c r="F97" s="68">
        <v>44165</v>
      </c>
      <c r="G97" s="146">
        <v>12061</v>
      </c>
      <c r="H97" s="69">
        <v>0.2730895505490773</v>
      </c>
      <c r="I97" s="157">
        <v>121</v>
      </c>
      <c r="J97" s="89">
        <v>0</v>
      </c>
      <c r="K97" s="15" t="s">
        <v>320</v>
      </c>
    </row>
    <row r="98" spans="1:11" x14ac:dyDescent="0.2">
      <c r="A98" s="8" t="s">
        <v>208</v>
      </c>
      <c r="B98" s="62">
        <v>2</v>
      </c>
      <c r="C98" s="178">
        <v>8</v>
      </c>
      <c r="D98" s="112">
        <v>43691</v>
      </c>
      <c r="E98" s="132">
        <v>226</v>
      </c>
      <c r="F98" s="63">
        <v>29380</v>
      </c>
      <c r="G98" s="144">
        <v>23583</v>
      </c>
      <c r="H98" s="64">
        <v>0.80268890401633763</v>
      </c>
      <c r="I98" s="157">
        <v>130</v>
      </c>
      <c r="J98" s="89">
        <v>108</v>
      </c>
      <c r="K98" s="15" t="s">
        <v>397</v>
      </c>
    </row>
    <row r="99" spans="1:11" x14ac:dyDescent="0.2">
      <c r="A99" s="8" t="s">
        <v>43</v>
      </c>
      <c r="B99" s="62">
        <v>2</v>
      </c>
      <c r="C99" s="178">
        <v>8</v>
      </c>
      <c r="D99" s="112">
        <v>43830</v>
      </c>
      <c r="E99" s="132">
        <v>365</v>
      </c>
      <c r="F99" s="66">
        <v>11315</v>
      </c>
      <c r="G99" s="145">
        <v>9411</v>
      </c>
      <c r="H99" s="67">
        <v>0.8317277949624392</v>
      </c>
      <c r="I99" s="157">
        <v>31</v>
      </c>
      <c r="J99" s="89">
        <v>4</v>
      </c>
      <c r="K99" s="15" t="s">
        <v>338</v>
      </c>
    </row>
    <row r="100" spans="1:11" x14ac:dyDescent="0.2">
      <c r="A100" s="8" t="s">
        <v>44</v>
      </c>
      <c r="B100" s="62">
        <v>2</v>
      </c>
      <c r="C100" s="178">
        <v>8</v>
      </c>
      <c r="D100" s="112">
        <v>43830</v>
      </c>
      <c r="E100" s="132">
        <v>365</v>
      </c>
      <c r="F100" s="63">
        <v>43800</v>
      </c>
      <c r="G100" s="144">
        <v>41733</v>
      </c>
      <c r="H100" s="64">
        <v>0.95280821917808223</v>
      </c>
      <c r="I100" s="157">
        <v>120</v>
      </c>
      <c r="J100" s="89">
        <v>120</v>
      </c>
    </row>
    <row r="101" spans="1:11" x14ac:dyDescent="0.2">
      <c r="A101" s="8" t="s">
        <v>209</v>
      </c>
      <c r="B101" s="62">
        <v>2</v>
      </c>
      <c r="C101" s="178">
        <v>8</v>
      </c>
      <c r="D101" s="112">
        <v>43830</v>
      </c>
      <c r="E101" s="132">
        <v>365</v>
      </c>
      <c r="F101" s="63">
        <v>48180</v>
      </c>
      <c r="G101" s="144">
        <v>42237</v>
      </c>
      <c r="H101" s="64">
        <v>0.87665006226650066</v>
      </c>
      <c r="I101" s="157">
        <v>132</v>
      </c>
      <c r="J101" s="89">
        <v>132</v>
      </c>
    </row>
    <row r="102" spans="1:11" x14ac:dyDescent="0.2">
      <c r="A102" s="8" t="s">
        <v>210</v>
      </c>
      <c r="B102" s="62">
        <v>2</v>
      </c>
      <c r="C102" s="178">
        <v>8</v>
      </c>
      <c r="D102" s="112">
        <v>43830</v>
      </c>
      <c r="E102" s="132">
        <v>365</v>
      </c>
      <c r="F102" s="63">
        <v>36500</v>
      </c>
      <c r="G102" s="144">
        <v>34606</v>
      </c>
      <c r="H102" s="64">
        <v>0.94810958904109588</v>
      </c>
      <c r="I102" s="157">
        <v>100</v>
      </c>
      <c r="J102" s="89">
        <v>100</v>
      </c>
    </row>
    <row r="103" spans="1:11" x14ac:dyDescent="0.2">
      <c r="A103" s="8" t="s">
        <v>211</v>
      </c>
      <c r="B103" s="62">
        <v>2</v>
      </c>
      <c r="C103" s="178">
        <v>8</v>
      </c>
      <c r="D103" s="112">
        <v>43830</v>
      </c>
      <c r="E103" s="132">
        <v>365</v>
      </c>
      <c r="F103" s="63">
        <v>43800</v>
      </c>
      <c r="G103" s="144">
        <v>40884</v>
      </c>
      <c r="H103" s="64">
        <v>0.93342465753424653</v>
      </c>
      <c r="I103" s="157">
        <v>120</v>
      </c>
      <c r="J103" s="89">
        <v>120</v>
      </c>
    </row>
    <row r="104" spans="1:11" x14ac:dyDescent="0.2">
      <c r="A104" s="8" t="s">
        <v>45</v>
      </c>
      <c r="B104" s="62">
        <v>2</v>
      </c>
      <c r="C104" s="178">
        <v>8</v>
      </c>
      <c r="D104" s="112">
        <v>43830</v>
      </c>
      <c r="E104" s="132">
        <v>365</v>
      </c>
      <c r="F104" s="63">
        <v>35040</v>
      </c>
      <c r="G104" s="144">
        <v>30684</v>
      </c>
      <c r="H104" s="64">
        <v>0.87568493150684934</v>
      </c>
      <c r="I104" s="157">
        <v>96</v>
      </c>
      <c r="J104" s="89">
        <v>74</v>
      </c>
    </row>
    <row r="105" spans="1:11" x14ac:dyDescent="0.2">
      <c r="A105" s="8" t="s">
        <v>46</v>
      </c>
      <c r="B105" s="62">
        <v>2</v>
      </c>
      <c r="C105" s="178">
        <v>8</v>
      </c>
      <c r="D105" s="112">
        <v>43830</v>
      </c>
      <c r="E105" s="132">
        <v>365</v>
      </c>
      <c r="F105" s="63">
        <v>58765</v>
      </c>
      <c r="G105" s="144">
        <v>48693</v>
      </c>
      <c r="H105" s="64">
        <v>0.8286054624351229</v>
      </c>
      <c r="I105" s="157">
        <v>161</v>
      </c>
      <c r="J105" s="89">
        <v>161</v>
      </c>
    </row>
    <row r="106" spans="1:11" x14ac:dyDescent="0.2">
      <c r="A106" s="8" t="s">
        <v>47</v>
      </c>
      <c r="B106" s="62">
        <v>2</v>
      </c>
      <c r="C106" s="178">
        <v>8</v>
      </c>
      <c r="D106" s="112">
        <v>43830</v>
      </c>
      <c r="E106" s="132">
        <v>365</v>
      </c>
      <c r="F106" s="63">
        <v>56575</v>
      </c>
      <c r="G106" s="144">
        <v>48142</v>
      </c>
      <c r="H106" s="64">
        <v>0.8509412284577994</v>
      </c>
      <c r="I106" s="157">
        <v>155</v>
      </c>
      <c r="J106" s="89">
        <v>155</v>
      </c>
    </row>
    <row r="107" spans="1:11" x14ac:dyDescent="0.2">
      <c r="A107" s="8" t="s">
        <v>212</v>
      </c>
      <c r="B107" s="62">
        <v>2</v>
      </c>
      <c r="C107" s="178">
        <v>8</v>
      </c>
      <c r="D107" s="112">
        <v>43830</v>
      </c>
      <c r="E107" s="132">
        <v>365</v>
      </c>
      <c r="F107" s="63">
        <v>47450</v>
      </c>
      <c r="G107" s="144">
        <v>42104</v>
      </c>
      <c r="H107" s="64">
        <v>0.88733403582718651</v>
      </c>
      <c r="I107" s="157">
        <v>130</v>
      </c>
      <c r="J107" s="89">
        <v>98</v>
      </c>
    </row>
    <row r="108" spans="1:11" x14ac:dyDescent="0.2">
      <c r="A108" s="8" t="s">
        <v>213</v>
      </c>
      <c r="B108" s="62">
        <v>2</v>
      </c>
      <c r="C108" s="178">
        <v>8</v>
      </c>
      <c r="D108" s="112">
        <v>43830</v>
      </c>
      <c r="E108" s="132">
        <v>365</v>
      </c>
      <c r="F108" s="63">
        <v>54750</v>
      </c>
      <c r="G108" s="144">
        <v>53315</v>
      </c>
      <c r="H108" s="64">
        <v>0.9737899543378995</v>
      </c>
      <c r="I108" s="157">
        <v>150</v>
      </c>
      <c r="J108" s="89">
        <v>150</v>
      </c>
    </row>
    <row r="109" spans="1:11" x14ac:dyDescent="0.2">
      <c r="A109" s="8" t="s">
        <v>48</v>
      </c>
      <c r="B109" s="62">
        <v>2</v>
      </c>
      <c r="C109" s="178">
        <v>8</v>
      </c>
      <c r="D109" s="112">
        <v>43585</v>
      </c>
      <c r="E109" s="132">
        <v>365</v>
      </c>
      <c r="F109" s="66">
        <v>58400</v>
      </c>
      <c r="G109" s="145">
        <v>16087</v>
      </c>
      <c r="H109" s="67">
        <v>0.27546232876712329</v>
      </c>
      <c r="I109" s="157">
        <v>160</v>
      </c>
      <c r="J109" s="89">
        <v>0</v>
      </c>
      <c r="K109" s="15" t="s">
        <v>337</v>
      </c>
    </row>
    <row r="110" spans="1:11" x14ac:dyDescent="0.2">
      <c r="A110" s="8" t="s">
        <v>49</v>
      </c>
      <c r="B110" s="62">
        <v>2</v>
      </c>
      <c r="C110" s="178">
        <v>8</v>
      </c>
      <c r="D110" s="112">
        <v>43830</v>
      </c>
      <c r="E110" s="132">
        <v>365</v>
      </c>
      <c r="F110" s="63">
        <v>87600</v>
      </c>
      <c r="G110" s="144">
        <v>62975</v>
      </c>
      <c r="H110" s="64">
        <v>0.71889269406392697</v>
      </c>
      <c r="I110" s="157">
        <v>240</v>
      </c>
      <c r="J110" s="89">
        <v>240</v>
      </c>
    </row>
    <row r="111" spans="1:11" x14ac:dyDescent="0.2">
      <c r="A111" s="8" t="s">
        <v>400</v>
      </c>
      <c r="B111" s="62">
        <v>2</v>
      </c>
      <c r="C111" s="178">
        <v>8</v>
      </c>
      <c r="D111" s="112">
        <v>43830</v>
      </c>
      <c r="E111" s="132">
        <v>365</v>
      </c>
      <c r="F111" s="68">
        <v>20440</v>
      </c>
      <c r="G111" s="146">
        <v>17406</v>
      </c>
      <c r="H111" s="69">
        <v>0.85156555772994125</v>
      </c>
      <c r="I111" s="157">
        <v>56</v>
      </c>
      <c r="J111" s="89">
        <v>4</v>
      </c>
      <c r="K111" s="15" t="s">
        <v>320</v>
      </c>
    </row>
    <row r="112" spans="1:11" x14ac:dyDescent="0.2">
      <c r="A112" s="8" t="s">
        <v>50</v>
      </c>
      <c r="B112" s="62">
        <v>2</v>
      </c>
      <c r="C112" s="178">
        <v>8</v>
      </c>
      <c r="D112" s="112">
        <v>43830</v>
      </c>
      <c r="E112" s="132">
        <v>365</v>
      </c>
      <c r="F112" s="68">
        <v>29565</v>
      </c>
      <c r="G112" s="146">
        <v>18985</v>
      </c>
      <c r="H112" s="69">
        <v>0.64214442753255541</v>
      </c>
      <c r="I112" s="157">
        <v>81</v>
      </c>
      <c r="J112" s="89">
        <v>12</v>
      </c>
      <c r="K112" s="15" t="s">
        <v>320</v>
      </c>
    </row>
    <row r="113" spans="1:11" x14ac:dyDescent="0.2">
      <c r="A113" s="8" t="s">
        <v>401</v>
      </c>
      <c r="B113" s="62">
        <v>2</v>
      </c>
      <c r="C113" s="178">
        <v>8</v>
      </c>
      <c r="D113" s="112">
        <v>43830</v>
      </c>
      <c r="E113" s="132">
        <v>365</v>
      </c>
      <c r="F113" s="68">
        <v>17885</v>
      </c>
      <c r="G113" s="146">
        <v>16301</v>
      </c>
      <c r="H113" s="69">
        <v>0.91143416270617839</v>
      </c>
      <c r="I113" s="157">
        <v>49</v>
      </c>
      <c r="J113" s="89">
        <v>0</v>
      </c>
      <c r="K113" s="15" t="s">
        <v>320</v>
      </c>
    </row>
    <row r="114" spans="1:11" x14ac:dyDescent="0.2">
      <c r="A114" s="31" t="s">
        <v>51</v>
      </c>
      <c r="B114" s="62">
        <v>2</v>
      </c>
      <c r="C114" s="178">
        <v>8</v>
      </c>
      <c r="D114" s="112">
        <v>43830</v>
      </c>
      <c r="E114" s="132">
        <v>365</v>
      </c>
      <c r="F114" s="68"/>
      <c r="G114" s="146" t="s">
        <v>386</v>
      </c>
      <c r="H114" s="69"/>
      <c r="I114" s="157">
        <v>60</v>
      </c>
      <c r="J114" s="89">
        <v>41</v>
      </c>
      <c r="K114" s="15" t="s">
        <v>320</v>
      </c>
    </row>
    <row r="115" spans="1:11" x14ac:dyDescent="0.2">
      <c r="A115" s="8" t="s">
        <v>214</v>
      </c>
      <c r="B115" s="62">
        <v>2</v>
      </c>
      <c r="C115" s="178">
        <v>8</v>
      </c>
      <c r="D115" s="112">
        <v>43769</v>
      </c>
      <c r="E115" s="132">
        <v>365</v>
      </c>
      <c r="F115" s="63">
        <v>112055</v>
      </c>
      <c r="G115" s="144">
        <v>95836</v>
      </c>
      <c r="H115" s="64">
        <v>0.85525857837669006</v>
      </c>
      <c r="I115" s="157">
        <v>307</v>
      </c>
      <c r="J115" s="89">
        <v>267</v>
      </c>
    </row>
    <row r="116" spans="1:11" s="12" customFormat="1" ht="11.45" customHeight="1" x14ac:dyDescent="0.25">
      <c r="A116" s="54" t="s">
        <v>333</v>
      </c>
      <c r="B116" s="72">
        <f>COUNTA(B80:B97,B99:B115)</f>
        <v>35</v>
      </c>
      <c r="C116" s="179"/>
      <c r="D116" s="121"/>
      <c r="E116" s="133"/>
      <c r="F116" s="29">
        <f>SUM(F80:F115)</f>
        <v>1525335</v>
      </c>
      <c r="G116" s="147">
        <f>SUM(G80:G115)</f>
        <v>1287225</v>
      </c>
      <c r="H116" s="161">
        <f>G116/F116</f>
        <v>0.84389658665145695</v>
      </c>
      <c r="I116" s="133">
        <f>SUM(I80:I115)-I98</f>
        <v>4443</v>
      </c>
      <c r="J116" s="90">
        <f>SUM(J80:J115)-J98</f>
        <v>3601</v>
      </c>
      <c r="K116" s="16" t="s">
        <v>417</v>
      </c>
    </row>
    <row r="117" spans="1:11" s="14" customFormat="1" ht="11.45" customHeight="1" x14ac:dyDescent="0.25">
      <c r="A117" s="55" t="s">
        <v>316</v>
      </c>
      <c r="B117" s="176"/>
      <c r="C117" s="180"/>
      <c r="D117" s="122"/>
      <c r="E117" s="130"/>
      <c r="F117" s="13">
        <f>SUM(F80,F82:F89,F92,F96,F98,F100:F108,F110,F115)</f>
        <v>1249760</v>
      </c>
      <c r="G117" s="148">
        <f>SUM(G80,G82:G89,G92,G96,G98,G100:G108,G110,G115)</f>
        <v>1111181</v>
      </c>
      <c r="H117" s="39">
        <f>G117/F117</f>
        <v>0.8891155101779542</v>
      </c>
      <c r="I117" s="130"/>
      <c r="J117" s="93"/>
      <c r="K117" s="16" t="s">
        <v>315</v>
      </c>
    </row>
    <row r="118" spans="1:11" s="12" customFormat="1" ht="11.45" customHeight="1" x14ac:dyDescent="0.25">
      <c r="A118" s="56"/>
      <c r="B118" s="73"/>
      <c r="C118" s="181"/>
      <c r="D118" s="123" t="s">
        <v>317</v>
      </c>
      <c r="E118" s="134"/>
      <c r="F118" s="29"/>
      <c r="G118" s="147"/>
      <c r="H118" s="39">
        <f>MEDIAN(H80,H82:H89,H92,H96,H98,H100:H108,H110,H115)</f>
        <v>0.90092846270928462</v>
      </c>
      <c r="I118" s="134"/>
      <c r="J118" s="94"/>
      <c r="K118" s="16" t="s">
        <v>326</v>
      </c>
    </row>
    <row r="119" spans="1:11" s="14" customFormat="1" ht="11.45" customHeight="1" x14ac:dyDescent="0.2">
      <c r="A119" s="57" t="s">
        <v>334</v>
      </c>
      <c r="B119" s="74">
        <f>COUNT(B81,B90:B91,B93:B95,B97,B111:B114)</f>
        <v>11</v>
      </c>
      <c r="C119" s="184">
        <f>COUNT(C91,C93:C95,C111:C112,C114)</f>
        <v>7</v>
      </c>
      <c r="D119" s="125"/>
      <c r="E119" s="137"/>
      <c r="F119" s="25">
        <f>SUM(F81,F90:F91,F93:F95,F97,F111:F114)</f>
        <v>205860</v>
      </c>
      <c r="G119" s="135">
        <f>SUM(G81,G90:G91,G93:G95,G97,G111:G114)</f>
        <v>150546</v>
      </c>
      <c r="H119" s="162">
        <f>G119/F119</f>
        <v>0.73130282716409212</v>
      </c>
      <c r="I119" s="167">
        <f>SUM(I81,I90:I91,I93:I95,I97,I111:I114)</f>
        <v>828</v>
      </c>
      <c r="J119" s="98">
        <f>SUM(J81,J90:J91,J93:J95,J97,J111:J114)</f>
        <v>355</v>
      </c>
      <c r="K119" s="16" t="s">
        <v>315</v>
      </c>
    </row>
    <row r="120" spans="1:11" x14ac:dyDescent="0.2">
      <c r="F120" s="63"/>
      <c r="G120" s="144"/>
    </row>
    <row r="121" spans="1:11" x14ac:dyDescent="0.2">
      <c r="F121" s="63"/>
      <c r="G121" s="144"/>
      <c r="J121" s="99"/>
    </row>
    <row r="122" spans="1:11" x14ac:dyDescent="0.2">
      <c r="A122" s="8" t="s">
        <v>70</v>
      </c>
      <c r="B122" s="62">
        <v>3</v>
      </c>
      <c r="C122" s="178">
        <v>1</v>
      </c>
      <c r="D122" s="112">
        <v>43830</v>
      </c>
      <c r="E122" s="132">
        <v>365</v>
      </c>
      <c r="F122" s="63">
        <v>65700</v>
      </c>
      <c r="G122" s="144">
        <v>62515</v>
      </c>
      <c r="H122" s="64">
        <v>0.95152207001522071</v>
      </c>
      <c r="I122" s="157">
        <v>180</v>
      </c>
      <c r="J122" s="89">
        <v>180</v>
      </c>
    </row>
    <row r="123" spans="1:11" x14ac:dyDescent="0.2">
      <c r="A123" s="8" t="s">
        <v>78</v>
      </c>
      <c r="B123" s="62">
        <v>3</v>
      </c>
      <c r="C123" s="178">
        <v>1</v>
      </c>
      <c r="D123" s="112">
        <v>43830</v>
      </c>
      <c r="E123" s="132">
        <v>365</v>
      </c>
      <c r="F123" s="63">
        <v>35405</v>
      </c>
      <c r="G123" s="144">
        <v>33173</v>
      </c>
      <c r="H123" s="64">
        <v>0.93695805677164246</v>
      </c>
      <c r="I123" s="157">
        <v>97</v>
      </c>
      <c r="J123" s="89">
        <v>97</v>
      </c>
    </row>
    <row r="124" spans="1:11" x14ac:dyDescent="0.2">
      <c r="A124" s="8" t="s">
        <v>228</v>
      </c>
      <c r="B124" s="62">
        <v>3</v>
      </c>
      <c r="C124" s="178">
        <v>1</v>
      </c>
      <c r="D124" s="112">
        <v>43830</v>
      </c>
      <c r="E124" s="132">
        <v>365</v>
      </c>
      <c r="F124" s="63">
        <v>40150</v>
      </c>
      <c r="G124" s="144">
        <v>37991</v>
      </c>
      <c r="H124" s="64">
        <v>0.94622665006226647</v>
      </c>
      <c r="I124" s="157">
        <v>110</v>
      </c>
      <c r="J124" s="89">
        <v>110</v>
      </c>
    </row>
    <row r="125" spans="1:11" x14ac:dyDescent="0.2">
      <c r="A125" s="8" t="s">
        <v>233</v>
      </c>
      <c r="B125" s="62">
        <v>3</v>
      </c>
      <c r="C125" s="178">
        <v>1</v>
      </c>
      <c r="D125" s="112">
        <v>43646</v>
      </c>
      <c r="E125" s="132">
        <v>365</v>
      </c>
      <c r="F125" s="63">
        <v>16060</v>
      </c>
      <c r="G125" s="144">
        <v>7521</v>
      </c>
      <c r="H125" s="64">
        <v>0.46830635118306352</v>
      </c>
      <c r="I125" s="157">
        <v>44</v>
      </c>
      <c r="J125" s="89">
        <v>44</v>
      </c>
    </row>
    <row r="126" spans="1:11" x14ac:dyDescent="0.2">
      <c r="A126" s="8" t="s">
        <v>234</v>
      </c>
      <c r="B126" s="62">
        <v>3</v>
      </c>
      <c r="C126" s="178">
        <v>1</v>
      </c>
      <c r="D126" s="112">
        <v>43830</v>
      </c>
      <c r="E126" s="132">
        <v>365</v>
      </c>
      <c r="F126" s="63">
        <v>32850</v>
      </c>
      <c r="G126" s="144">
        <v>31103</v>
      </c>
      <c r="H126" s="64">
        <v>0.94681887366818873</v>
      </c>
      <c r="I126" s="157">
        <v>90</v>
      </c>
      <c r="J126" s="89">
        <v>90</v>
      </c>
    </row>
    <row r="127" spans="1:11" x14ac:dyDescent="0.2">
      <c r="A127" s="8" t="s">
        <v>179</v>
      </c>
      <c r="B127" s="62">
        <v>3</v>
      </c>
      <c r="C127" s="178">
        <v>1</v>
      </c>
      <c r="D127" s="112">
        <v>43830</v>
      </c>
      <c r="E127" s="132">
        <v>365</v>
      </c>
      <c r="F127" s="63">
        <v>43800</v>
      </c>
      <c r="G127" s="144">
        <v>38338</v>
      </c>
      <c r="H127" s="64">
        <v>0.87529680365296803</v>
      </c>
      <c r="I127" s="157">
        <v>120</v>
      </c>
      <c r="J127" s="89">
        <v>120</v>
      </c>
    </row>
    <row r="128" spans="1:11" s="12" customFormat="1" ht="11.45" customHeight="1" x14ac:dyDescent="0.25">
      <c r="A128" s="54" t="s">
        <v>339</v>
      </c>
      <c r="B128" s="72">
        <f>COUNTA(B122:B127)</f>
        <v>6</v>
      </c>
      <c r="C128" s="179"/>
      <c r="D128" s="126"/>
      <c r="E128" s="133"/>
      <c r="F128" s="29">
        <f>SUM(F122:F127)</f>
        <v>233965</v>
      </c>
      <c r="G128" s="147">
        <f>SUM(G122:G127)</f>
        <v>210641</v>
      </c>
      <c r="H128" s="161">
        <f>G128/F128</f>
        <v>0.90030987540871499</v>
      </c>
      <c r="I128" s="133">
        <f t="shared" ref="I128" si="2">SUM(I122:I127)</f>
        <v>641</v>
      </c>
      <c r="J128" s="90">
        <f t="shared" ref="J128" si="3">SUM(J122:J127)</f>
        <v>641</v>
      </c>
      <c r="K128" s="16" t="s">
        <v>315</v>
      </c>
    </row>
    <row r="129" spans="1:11" s="14" customFormat="1" ht="11.45" customHeight="1" x14ac:dyDescent="0.25">
      <c r="A129" s="55" t="s">
        <v>316</v>
      </c>
      <c r="B129" s="176"/>
      <c r="C129" s="180"/>
      <c r="D129" s="127"/>
      <c r="E129" s="130"/>
      <c r="F129" s="13">
        <f>SUM(F122:F127)</f>
        <v>233965</v>
      </c>
      <c r="G129" s="148">
        <f>SUM(G122:G127)</f>
        <v>210641</v>
      </c>
      <c r="H129" s="39">
        <f>G129/F129</f>
        <v>0.90030987540871499</v>
      </c>
      <c r="I129" s="130"/>
      <c r="J129" s="93"/>
      <c r="K129" s="16" t="s">
        <v>315</v>
      </c>
    </row>
    <row r="130" spans="1:11" s="12" customFormat="1" ht="11.45" customHeight="1" x14ac:dyDescent="0.25">
      <c r="A130" s="56"/>
      <c r="B130" s="73"/>
      <c r="C130" s="181"/>
      <c r="D130" s="128" t="s">
        <v>317</v>
      </c>
      <c r="E130" s="134"/>
      <c r="F130" s="29"/>
      <c r="G130" s="147"/>
      <c r="H130" s="39">
        <f>MEDIAN(H122:H127)</f>
        <v>0.94159235341695446</v>
      </c>
      <c r="I130" s="134"/>
      <c r="J130" s="94"/>
      <c r="K130" s="16" t="s">
        <v>326</v>
      </c>
    </row>
    <row r="131" spans="1:11" x14ac:dyDescent="0.2">
      <c r="F131" s="63"/>
      <c r="G131" s="144"/>
    </row>
    <row r="132" spans="1:11" x14ac:dyDescent="0.2">
      <c r="A132" s="8" t="s">
        <v>220</v>
      </c>
      <c r="B132" s="62">
        <v>3</v>
      </c>
      <c r="C132" s="178">
        <v>2</v>
      </c>
      <c r="D132" s="112">
        <v>43830</v>
      </c>
      <c r="E132" s="132">
        <v>365</v>
      </c>
      <c r="F132" s="63">
        <f>365*14+31*10</f>
        <v>5420</v>
      </c>
      <c r="G132" s="144">
        <v>3823</v>
      </c>
      <c r="H132" s="64">
        <f>G132/F132</f>
        <v>0.70535055350553511</v>
      </c>
      <c r="I132" s="157">
        <v>24</v>
      </c>
      <c r="J132" s="89">
        <v>16</v>
      </c>
      <c r="K132" s="15" t="s">
        <v>402</v>
      </c>
    </row>
    <row r="133" spans="1:11" x14ac:dyDescent="0.2">
      <c r="A133" s="8" t="s">
        <v>67</v>
      </c>
      <c r="B133" s="62">
        <v>3</v>
      </c>
      <c r="C133" s="178">
        <v>2</v>
      </c>
      <c r="D133" s="112">
        <v>43830</v>
      </c>
      <c r="E133" s="132">
        <v>365</v>
      </c>
      <c r="F133" s="63">
        <v>23725</v>
      </c>
      <c r="G133" s="144">
        <v>20920</v>
      </c>
      <c r="H133" s="64">
        <v>0.88177028451001049</v>
      </c>
      <c r="I133" s="157">
        <v>65</v>
      </c>
      <c r="J133" s="89">
        <v>65</v>
      </c>
    </row>
    <row r="134" spans="1:11" x14ac:dyDescent="0.2">
      <c r="A134" s="8" t="s">
        <v>73</v>
      </c>
      <c r="B134" s="62">
        <v>3</v>
      </c>
      <c r="C134" s="178">
        <v>2</v>
      </c>
      <c r="D134" s="112">
        <v>43830</v>
      </c>
      <c r="E134" s="132">
        <v>365</v>
      </c>
      <c r="F134" s="63">
        <v>36500</v>
      </c>
      <c r="G134" s="144">
        <v>33886</v>
      </c>
      <c r="H134" s="64">
        <v>0.92838356164383562</v>
      </c>
      <c r="I134" s="157">
        <v>100</v>
      </c>
      <c r="J134" s="89">
        <v>100</v>
      </c>
    </row>
    <row r="135" spans="1:11" x14ac:dyDescent="0.2">
      <c r="A135" s="8" t="s">
        <v>74</v>
      </c>
      <c r="B135" s="62">
        <v>3</v>
      </c>
      <c r="C135" s="178">
        <v>2</v>
      </c>
      <c r="D135" s="112">
        <v>43830</v>
      </c>
      <c r="E135" s="132">
        <v>365</v>
      </c>
      <c r="F135" s="63">
        <v>43800</v>
      </c>
      <c r="G135" s="144">
        <v>40878</v>
      </c>
      <c r="H135" s="64">
        <v>0.9332876712328767</v>
      </c>
      <c r="I135" s="157">
        <v>120</v>
      </c>
      <c r="J135" s="89">
        <v>120</v>
      </c>
    </row>
    <row r="136" spans="1:11" x14ac:dyDescent="0.2">
      <c r="A136" s="8" t="s">
        <v>77</v>
      </c>
      <c r="B136" s="62">
        <v>3</v>
      </c>
      <c r="C136" s="178">
        <v>2</v>
      </c>
      <c r="D136" s="112">
        <v>43830</v>
      </c>
      <c r="E136" s="132">
        <v>365</v>
      </c>
      <c r="F136" s="63">
        <v>65700</v>
      </c>
      <c r="G136" s="144">
        <v>51882</v>
      </c>
      <c r="H136" s="64">
        <v>0.78968036529680363</v>
      </c>
      <c r="I136" s="157">
        <v>180</v>
      </c>
      <c r="J136" s="89">
        <v>180</v>
      </c>
    </row>
    <row r="137" spans="1:11" x14ac:dyDescent="0.2">
      <c r="A137" s="8" t="s">
        <v>231</v>
      </c>
      <c r="B137" s="62">
        <v>3</v>
      </c>
      <c r="C137" s="178">
        <v>2</v>
      </c>
      <c r="D137" s="112">
        <v>43830</v>
      </c>
      <c r="E137" s="132">
        <v>365</v>
      </c>
      <c r="F137" s="63">
        <v>21900</v>
      </c>
      <c r="G137" s="144">
        <v>19791</v>
      </c>
      <c r="H137" s="64">
        <v>0.90369863013698626</v>
      </c>
      <c r="I137" s="157">
        <v>60</v>
      </c>
      <c r="J137" s="89">
        <v>60</v>
      </c>
    </row>
    <row r="138" spans="1:11" s="12" customFormat="1" ht="11.45" customHeight="1" x14ac:dyDescent="0.25">
      <c r="A138" s="54" t="s">
        <v>340</v>
      </c>
      <c r="B138" s="72">
        <f>COUNTA(B132:B137)</f>
        <v>6</v>
      </c>
      <c r="C138" s="179"/>
      <c r="D138" s="126"/>
      <c r="E138" s="133"/>
      <c r="F138" s="29">
        <f>SUM(F132:F137)</f>
        <v>197045</v>
      </c>
      <c r="G138" s="147">
        <f>SUM(G132:G137)</f>
        <v>171180</v>
      </c>
      <c r="H138" s="161">
        <f>G138/F138</f>
        <v>0.86873556801745799</v>
      </c>
      <c r="I138" s="133">
        <f t="shared" ref="I138" si="4">SUM(I132:I137)</f>
        <v>549</v>
      </c>
      <c r="J138" s="90">
        <f t="shared" ref="J138" si="5">SUM(J132:J137)</f>
        <v>541</v>
      </c>
      <c r="K138" s="16" t="s">
        <v>315</v>
      </c>
    </row>
    <row r="139" spans="1:11" s="14" customFormat="1" ht="11.45" customHeight="1" x14ac:dyDescent="0.25">
      <c r="A139" s="55" t="s">
        <v>316</v>
      </c>
      <c r="B139" s="176"/>
      <c r="C139" s="180"/>
      <c r="D139" s="127"/>
      <c r="E139" s="130"/>
      <c r="F139" s="13">
        <f>SUM(F132:F137)</f>
        <v>197045</v>
      </c>
      <c r="G139" s="148">
        <f>SUM(G132:G137)</f>
        <v>171180</v>
      </c>
      <c r="H139" s="39">
        <f>G139/F139</f>
        <v>0.86873556801745799</v>
      </c>
      <c r="I139" s="130"/>
      <c r="J139" s="93"/>
      <c r="K139" s="16" t="s">
        <v>315</v>
      </c>
    </row>
    <row r="140" spans="1:11" s="12" customFormat="1" ht="11.45" customHeight="1" x14ac:dyDescent="0.25">
      <c r="A140" s="56"/>
      <c r="B140" s="73"/>
      <c r="C140" s="181"/>
      <c r="D140" s="128" t="s">
        <v>317</v>
      </c>
      <c r="E140" s="134"/>
      <c r="F140" s="29"/>
      <c r="G140" s="147"/>
      <c r="H140" s="39">
        <f>MEDIAN(H132:H137)</f>
        <v>0.89273445732349832</v>
      </c>
      <c r="I140" s="134"/>
      <c r="J140" s="94"/>
      <c r="K140" s="16" t="s">
        <v>326</v>
      </c>
    </row>
    <row r="141" spans="1:11" s="36" customFormat="1" ht="11.45" customHeight="1" x14ac:dyDescent="0.25">
      <c r="A141" s="33"/>
      <c r="B141" s="78"/>
      <c r="C141" s="185"/>
      <c r="D141" s="114"/>
      <c r="E141" s="138"/>
      <c r="F141" s="34"/>
      <c r="G141" s="154"/>
      <c r="H141" s="35"/>
      <c r="I141" s="138"/>
      <c r="J141" s="100"/>
      <c r="K141" s="49"/>
    </row>
    <row r="142" spans="1:11" s="31" customFormat="1" x14ac:dyDescent="0.2">
      <c r="A142" s="8" t="s">
        <v>215</v>
      </c>
      <c r="B142" s="62">
        <v>3</v>
      </c>
      <c r="C142" s="178">
        <v>3</v>
      </c>
      <c r="D142" s="112">
        <v>43830</v>
      </c>
      <c r="E142" s="132">
        <v>365</v>
      </c>
      <c r="F142" s="63">
        <v>43800</v>
      </c>
      <c r="G142" s="144">
        <v>41181</v>
      </c>
      <c r="H142" s="64">
        <v>0.94020547945205479</v>
      </c>
      <c r="I142" s="157">
        <v>120</v>
      </c>
      <c r="J142" s="89">
        <v>120</v>
      </c>
      <c r="K142" s="15"/>
    </row>
    <row r="143" spans="1:11" x14ac:dyDescent="0.2">
      <c r="A143" s="8" t="s">
        <v>54</v>
      </c>
      <c r="B143" s="62">
        <v>3</v>
      </c>
      <c r="C143" s="178">
        <v>3</v>
      </c>
      <c r="D143" s="112">
        <v>43830</v>
      </c>
      <c r="E143" s="132">
        <v>365</v>
      </c>
      <c r="F143" s="63">
        <v>20805</v>
      </c>
      <c r="G143" s="144">
        <v>18668</v>
      </c>
      <c r="H143" s="64">
        <v>0.89728430665705361</v>
      </c>
      <c r="I143" s="157">
        <v>57</v>
      </c>
      <c r="J143" s="89">
        <v>57</v>
      </c>
    </row>
    <row r="144" spans="1:11" x14ac:dyDescent="0.2">
      <c r="A144" s="8" t="s">
        <v>61</v>
      </c>
      <c r="B144" s="62">
        <v>3</v>
      </c>
      <c r="C144" s="178">
        <v>3</v>
      </c>
      <c r="D144" s="112">
        <v>43830</v>
      </c>
      <c r="E144" s="132">
        <v>365</v>
      </c>
      <c r="F144" s="63">
        <v>43800</v>
      </c>
      <c r="G144" s="144">
        <v>40019</v>
      </c>
      <c r="H144" s="64">
        <v>0.913675799086758</v>
      </c>
      <c r="I144" s="157">
        <v>120</v>
      </c>
      <c r="J144" s="89">
        <v>120</v>
      </c>
    </row>
    <row r="145" spans="1:11" x14ac:dyDescent="0.2">
      <c r="A145" s="8" t="s">
        <v>62</v>
      </c>
      <c r="B145" s="62">
        <v>3</v>
      </c>
      <c r="C145" s="178">
        <v>3</v>
      </c>
      <c r="D145" s="112">
        <v>43830</v>
      </c>
      <c r="E145" s="132">
        <v>365</v>
      </c>
      <c r="F145" s="63">
        <f>107*365+30*31</f>
        <v>39985</v>
      </c>
      <c r="G145" s="144">
        <v>37574</v>
      </c>
      <c r="H145" s="64">
        <f>G145/F145</f>
        <v>0.93970238839564835</v>
      </c>
      <c r="I145" s="157">
        <v>107</v>
      </c>
      <c r="J145" s="89">
        <v>107</v>
      </c>
      <c r="K145" s="15" t="s">
        <v>403</v>
      </c>
    </row>
    <row r="146" spans="1:11" x14ac:dyDescent="0.2">
      <c r="A146" s="8" t="s">
        <v>178</v>
      </c>
      <c r="B146" s="62">
        <v>3</v>
      </c>
      <c r="C146" s="178">
        <v>3</v>
      </c>
      <c r="D146" s="112">
        <v>43646</v>
      </c>
      <c r="E146" s="132">
        <v>365</v>
      </c>
      <c r="F146" s="63">
        <v>39785</v>
      </c>
      <c r="G146" s="144">
        <v>32907</v>
      </c>
      <c r="H146" s="64">
        <v>0.82712077416111596</v>
      </c>
      <c r="I146" s="157">
        <v>109</v>
      </c>
      <c r="J146" s="89">
        <v>109</v>
      </c>
    </row>
    <row r="147" spans="1:11" x14ac:dyDescent="0.2">
      <c r="A147" s="8" t="s">
        <v>66</v>
      </c>
      <c r="B147" s="62">
        <v>3</v>
      </c>
      <c r="C147" s="178">
        <v>3</v>
      </c>
      <c r="D147" s="112">
        <v>43830</v>
      </c>
      <c r="E147" s="132">
        <v>365</v>
      </c>
      <c r="F147" s="63">
        <v>43800</v>
      </c>
      <c r="G147" s="144">
        <v>35623</v>
      </c>
      <c r="H147" s="64">
        <v>0.81331050228310497</v>
      </c>
      <c r="I147" s="157">
        <v>120</v>
      </c>
      <c r="J147" s="89">
        <v>120</v>
      </c>
    </row>
    <row r="148" spans="1:11" x14ac:dyDescent="0.2">
      <c r="A148" s="8" t="s">
        <v>68</v>
      </c>
      <c r="B148" s="62">
        <v>3</v>
      </c>
      <c r="C148" s="178">
        <v>3</v>
      </c>
      <c r="D148" s="112">
        <v>43830</v>
      </c>
      <c r="E148" s="132">
        <v>365</v>
      </c>
      <c r="F148" s="63">
        <v>43435</v>
      </c>
      <c r="G148" s="144">
        <v>32720</v>
      </c>
      <c r="H148" s="64">
        <v>0.7533095429952803</v>
      </c>
      <c r="I148" s="157">
        <v>119</v>
      </c>
      <c r="J148" s="89">
        <v>119</v>
      </c>
    </row>
    <row r="149" spans="1:11" x14ac:dyDescent="0.2">
      <c r="A149" s="8" t="s">
        <v>224</v>
      </c>
      <c r="B149" s="62">
        <v>3</v>
      </c>
      <c r="C149" s="178">
        <v>3</v>
      </c>
      <c r="D149" s="112">
        <v>43830</v>
      </c>
      <c r="E149" s="132">
        <v>365</v>
      </c>
      <c r="F149" s="63">
        <v>43800</v>
      </c>
      <c r="G149" s="144">
        <v>39637</v>
      </c>
      <c r="H149" s="64">
        <v>0.90495433789954338</v>
      </c>
      <c r="I149" s="157">
        <v>120</v>
      </c>
      <c r="J149" s="89">
        <v>120</v>
      </c>
    </row>
    <row r="150" spans="1:11" x14ac:dyDescent="0.2">
      <c r="A150" s="8" t="s">
        <v>75</v>
      </c>
      <c r="B150" s="62">
        <v>3</v>
      </c>
      <c r="C150" s="178">
        <v>3</v>
      </c>
      <c r="D150" s="112">
        <v>43830</v>
      </c>
      <c r="E150" s="132">
        <v>365</v>
      </c>
      <c r="F150" s="63">
        <v>21900</v>
      </c>
      <c r="G150" s="144">
        <v>20355</v>
      </c>
      <c r="H150" s="64">
        <v>0.92945205479452053</v>
      </c>
      <c r="I150" s="157">
        <v>60</v>
      </c>
      <c r="J150" s="89">
        <v>60</v>
      </c>
    </row>
    <row r="151" spans="1:11" x14ac:dyDescent="0.2">
      <c r="A151" s="8" t="s">
        <v>227</v>
      </c>
      <c r="B151" s="62">
        <v>3</v>
      </c>
      <c r="C151" s="178">
        <v>3</v>
      </c>
      <c r="D151" s="112">
        <v>43830</v>
      </c>
      <c r="E151" s="132">
        <v>365</v>
      </c>
      <c r="F151" s="63">
        <v>21900</v>
      </c>
      <c r="G151" s="144">
        <v>20293</v>
      </c>
      <c r="H151" s="64">
        <v>0.92662100456620999</v>
      </c>
      <c r="I151" s="157">
        <v>60</v>
      </c>
      <c r="J151" s="89">
        <v>60</v>
      </c>
    </row>
    <row r="152" spans="1:11" x14ac:dyDescent="0.2">
      <c r="A152" s="8" t="s">
        <v>82</v>
      </c>
      <c r="B152" s="62">
        <v>3</v>
      </c>
      <c r="C152" s="178">
        <v>3</v>
      </c>
      <c r="D152" s="112">
        <v>43830</v>
      </c>
      <c r="E152" s="132">
        <v>365</v>
      </c>
      <c r="F152" s="63">
        <v>43800</v>
      </c>
      <c r="G152" s="144">
        <v>39813</v>
      </c>
      <c r="H152" s="64">
        <v>0.90897260273972602</v>
      </c>
      <c r="I152" s="157">
        <v>120</v>
      </c>
      <c r="J152" s="89">
        <v>102</v>
      </c>
    </row>
    <row r="153" spans="1:11" x14ac:dyDescent="0.2">
      <c r="A153" s="31" t="s">
        <v>385</v>
      </c>
      <c r="B153" s="79">
        <v>3</v>
      </c>
      <c r="C153" s="186">
        <v>3</v>
      </c>
      <c r="D153" s="115">
        <v>43830</v>
      </c>
      <c r="E153" s="139">
        <v>235</v>
      </c>
      <c r="F153" s="70">
        <v>21150</v>
      </c>
      <c r="G153" s="150">
        <v>12879</v>
      </c>
      <c r="H153" s="71">
        <v>0.60893617021276591</v>
      </c>
      <c r="I153" s="165">
        <v>90</v>
      </c>
      <c r="J153" s="95">
        <v>90</v>
      </c>
      <c r="K153" s="32" t="s">
        <v>387</v>
      </c>
    </row>
    <row r="154" spans="1:11" x14ac:dyDescent="0.2">
      <c r="A154" s="8" t="s">
        <v>250</v>
      </c>
      <c r="B154" s="62">
        <v>3</v>
      </c>
      <c r="C154" s="178">
        <v>3</v>
      </c>
      <c r="D154" s="112">
        <v>43830</v>
      </c>
      <c r="E154" s="132">
        <v>365</v>
      </c>
      <c r="F154" s="63">
        <v>65700</v>
      </c>
      <c r="G154" s="144">
        <v>58785</v>
      </c>
      <c r="H154" s="64">
        <v>0.89474885844748864</v>
      </c>
      <c r="I154" s="157">
        <v>180</v>
      </c>
      <c r="J154" s="89">
        <v>180</v>
      </c>
    </row>
    <row r="155" spans="1:11" x14ac:dyDescent="0.2">
      <c r="A155" s="8" t="s">
        <v>252</v>
      </c>
      <c r="B155" s="62">
        <v>3</v>
      </c>
      <c r="C155" s="178">
        <v>3</v>
      </c>
      <c r="D155" s="112">
        <v>43830</v>
      </c>
      <c r="E155" s="132">
        <v>365</v>
      </c>
      <c r="F155" s="63">
        <v>49275</v>
      </c>
      <c r="G155" s="144">
        <v>46361</v>
      </c>
      <c r="H155" s="64">
        <v>0.94086250634195845</v>
      </c>
      <c r="I155" s="157">
        <v>135</v>
      </c>
      <c r="J155" s="89">
        <v>135</v>
      </c>
    </row>
    <row r="156" spans="1:11" x14ac:dyDescent="0.2">
      <c r="A156" s="8" t="s">
        <v>91</v>
      </c>
      <c r="B156" s="62">
        <v>3</v>
      </c>
      <c r="C156" s="178">
        <v>3</v>
      </c>
      <c r="D156" s="112">
        <v>43830</v>
      </c>
      <c r="E156" s="132">
        <v>365</v>
      </c>
      <c r="F156" s="63">
        <v>2920</v>
      </c>
      <c r="G156" s="144">
        <v>1348</v>
      </c>
      <c r="H156" s="64">
        <v>0.46164383561643835</v>
      </c>
      <c r="I156" s="157">
        <v>8</v>
      </c>
      <c r="J156" s="89">
        <v>4</v>
      </c>
    </row>
    <row r="157" spans="1:11" s="12" customFormat="1" ht="11.45" customHeight="1" x14ac:dyDescent="0.25">
      <c r="A157" s="54" t="s">
        <v>350</v>
      </c>
      <c r="B157" s="72">
        <f>COUNTA(B142:B156)</f>
        <v>15</v>
      </c>
      <c r="C157" s="179"/>
      <c r="D157" s="126"/>
      <c r="E157" s="133"/>
      <c r="F157" s="29">
        <f>SUM(F142:F156)</f>
        <v>545855</v>
      </c>
      <c r="G157" s="147">
        <f>SUM(G142:G156)</f>
        <v>478163</v>
      </c>
      <c r="H157" s="161">
        <f>G157/F157</f>
        <v>0.87598904470967565</v>
      </c>
      <c r="I157" s="133">
        <f>SUM(I142:I156)</f>
        <v>1525</v>
      </c>
      <c r="J157" s="90">
        <f>SUM(J142:J156)</f>
        <v>1503</v>
      </c>
      <c r="K157" s="16" t="s">
        <v>315</v>
      </c>
    </row>
    <row r="158" spans="1:11" s="14" customFormat="1" ht="11.45" customHeight="1" x14ac:dyDescent="0.25">
      <c r="A158" s="55" t="s">
        <v>316</v>
      </c>
      <c r="B158" s="176"/>
      <c r="C158" s="180"/>
      <c r="D158" s="127"/>
      <c r="E158" s="130"/>
      <c r="F158" s="13">
        <f>SUM(F142:F156)</f>
        <v>545855</v>
      </c>
      <c r="G158" s="148">
        <f>SUM(G142:G156)</f>
        <v>478163</v>
      </c>
      <c r="H158" s="39">
        <f>G158/F158</f>
        <v>0.87598904470967565</v>
      </c>
      <c r="I158" s="130"/>
      <c r="J158" s="93"/>
      <c r="K158" s="16" t="s">
        <v>315</v>
      </c>
    </row>
    <row r="159" spans="1:11" s="12" customFormat="1" ht="11.45" customHeight="1" x14ac:dyDescent="0.25">
      <c r="A159" s="56"/>
      <c r="B159" s="73"/>
      <c r="C159" s="181"/>
      <c r="D159" s="128" t="s">
        <v>317</v>
      </c>
      <c r="E159" s="134"/>
      <c r="F159" s="29"/>
      <c r="G159" s="147"/>
      <c r="H159" s="39">
        <f>MEDIAN(H142:H156)</f>
        <v>0.90495433789954338</v>
      </c>
      <c r="I159" s="134"/>
      <c r="J159" s="94"/>
      <c r="K159" s="16" t="s">
        <v>326</v>
      </c>
    </row>
    <row r="160" spans="1:11" x14ac:dyDescent="0.2">
      <c r="F160" s="63"/>
      <c r="G160" s="144"/>
    </row>
    <row r="161" spans="1:11" x14ac:dyDescent="0.2">
      <c r="A161" s="8" t="s">
        <v>71</v>
      </c>
      <c r="B161" s="62">
        <v>3</v>
      </c>
      <c r="C161" s="178">
        <v>4</v>
      </c>
      <c r="D161" s="112">
        <v>43830</v>
      </c>
      <c r="E161" s="132">
        <v>365</v>
      </c>
      <c r="F161" s="63">
        <f>179*365</f>
        <v>65335</v>
      </c>
      <c r="G161" s="144">
        <v>49081</v>
      </c>
      <c r="H161" s="64">
        <f>G161/F161</f>
        <v>0.75122063212673151</v>
      </c>
      <c r="I161" s="157">
        <v>179</v>
      </c>
      <c r="J161" s="89">
        <v>179</v>
      </c>
      <c r="K161" s="32" t="s">
        <v>410</v>
      </c>
    </row>
    <row r="162" spans="1:11" x14ac:dyDescent="0.2">
      <c r="A162" s="8" t="s">
        <v>76</v>
      </c>
      <c r="B162" s="62">
        <v>3</v>
      </c>
      <c r="C162" s="178">
        <v>4</v>
      </c>
      <c r="D162" s="112">
        <v>43830</v>
      </c>
      <c r="E162" s="132">
        <v>365</v>
      </c>
      <c r="F162" s="63">
        <v>43800</v>
      </c>
      <c r="G162" s="144">
        <v>41694</v>
      </c>
      <c r="H162" s="64">
        <v>0.95191780821917804</v>
      </c>
      <c r="I162" s="157">
        <v>120</v>
      </c>
      <c r="J162" s="89">
        <v>120</v>
      </c>
    </row>
    <row r="163" spans="1:11" x14ac:dyDescent="0.2">
      <c r="A163" s="8" t="s">
        <v>226</v>
      </c>
      <c r="B163" s="62">
        <v>3</v>
      </c>
      <c r="C163" s="178">
        <v>4</v>
      </c>
      <c r="D163" s="112">
        <v>43646</v>
      </c>
      <c r="E163" s="132">
        <v>181</v>
      </c>
      <c r="F163" s="63">
        <v>23892</v>
      </c>
      <c r="G163" s="144">
        <v>20967</v>
      </c>
      <c r="H163" s="64">
        <v>0.87757408337518839</v>
      </c>
      <c r="I163" s="157">
        <v>132</v>
      </c>
      <c r="J163" s="89">
        <v>132</v>
      </c>
    </row>
    <row r="164" spans="1:11" x14ac:dyDescent="0.2">
      <c r="A164" s="8" t="s">
        <v>237</v>
      </c>
      <c r="B164" s="62">
        <v>3</v>
      </c>
      <c r="C164" s="178">
        <v>4</v>
      </c>
      <c r="D164" s="112">
        <v>43830</v>
      </c>
      <c r="E164" s="132">
        <v>365</v>
      </c>
      <c r="F164" s="63">
        <f>90*(31+28+31+30+31+13)+102*(17+31+31+30+31+30+31)</f>
        <v>35262</v>
      </c>
      <c r="G164" s="144">
        <v>31921</v>
      </c>
      <c r="H164" s="64">
        <f>G164/F164</f>
        <v>0.9052521127559412</v>
      </c>
      <c r="I164" s="157">
        <v>102</v>
      </c>
      <c r="J164" s="89">
        <v>102</v>
      </c>
      <c r="K164" s="32" t="s">
        <v>404</v>
      </c>
    </row>
    <row r="165" spans="1:11" x14ac:dyDescent="0.2">
      <c r="A165" s="8" t="s">
        <v>238</v>
      </c>
      <c r="B165" s="62">
        <v>3</v>
      </c>
      <c r="C165" s="178">
        <v>4</v>
      </c>
      <c r="D165" s="112">
        <v>43830</v>
      </c>
      <c r="E165" s="132">
        <v>365</v>
      </c>
      <c r="F165" s="63">
        <v>32850</v>
      </c>
      <c r="G165" s="144">
        <v>28748</v>
      </c>
      <c r="H165" s="64">
        <v>0.87512937595129381</v>
      </c>
      <c r="I165" s="157">
        <v>90</v>
      </c>
      <c r="J165" s="89">
        <v>90</v>
      </c>
    </row>
    <row r="166" spans="1:11" x14ac:dyDescent="0.2">
      <c r="A166" s="8" t="s">
        <v>245</v>
      </c>
      <c r="B166" s="62">
        <v>3</v>
      </c>
      <c r="C166" s="178">
        <v>4</v>
      </c>
      <c r="D166" s="112">
        <v>43830</v>
      </c>
      <c r="E166" s="132">
        <v>365</v>
      </c>
      <c r="F166" s="63">
        <v>32850</v>
      </c>
      <c r="G166" s="144">
        <v>27862</v>
      </c>
      <c r="H166" s="64">
        <v>0.84815829528158293</v>
      </c>
      <c r="I166" s="157">
        <v>90</v>
      </c>
      <c r="J166" s="89">
        <v>90</v>
      </c>
    </row>
    <row r="167" spans="1:11" x14ac:dyDescent="0.2">
      <c r="A167" s="8" t="s">
        <v>249</v>
      </c>
      <c r="B167" s="62">
        <v>3</v>
      </c>
      <c r="C167" s="178">
        <v>4</v>
      </c>
      <c r="D167" s="112">
        <v>43738</v>
      </c>
      <c r="E167" s="132">
        <v>365</v>
      </c>
      <c r="F167" s="63">
        <v>21900</v>
      </c>
      <c r="G167" s="144">
        <v>18609</v>
      </c>
      <c r="H167" s="64">
        <v>0.84972602739726022</v>
      </c>
      <c r="I167" s="157">
        <v>60</v>
      </c>
      <c r="J167" s="89">
        <v>60</v>
      </c>
    </row>
    <row r="168" spans="1:11" s="12" customFormat="1" ht="11.45" customHeight="1" x14ac:dyDescent="0.25">
      <c r="A168" s="54" t="s">
        <v>351</v>
      </c>
      <c r="B168" s="72">
        <f>COUNTA(B161:B167)</f>
        <v>7</v>
      </c>
      <c r="C168" s="179"/>
      <c r="D168" s="126"/>
      <c r="E168" s="133"/>
      <c r="F168" s="29">
        <f>SUM(F161:F167)</f>
        <v>255889</v>
      </c>
      <c r="G168" s="147">
        <f>SUM(G161:G167)</f>
        <v>218882</v>
      </c>
      <c r="H168" s="161">
        <f>G168/F168</f>
        <v>0.85537869935792477</v>
      </c>
      <c r="I168" s="133">
        <f>SUM(I161:I167)</f>
        <v>773</v>
      </c>
      <c r="J168" s="90">
        <f>SUM(J161:J167)</f>
        <v>773</v>
      </c>
      <c r="K168" s="16" t="s">
        <v>315</v>
      </c>
    </row>
    <row r="169" spans="1:11" s="14" customFormat="1" ht="11.45" customHeight="1" x14ac:dyDescent="0.25">
      <c r="A169" s="55" t="s">
        <v>316</v>
      </c>
      <c r="B169" s="176"/>
      <c r="C169" s="180"/>
      <c r="D169" s="127"/>
      <c r="E169" s="130"/>
      <c r="F169" s="13">
        <f>SUM(F161:F167)</f>
        <v>255889</v>
      </c>
      <c r="G169" s="148">
        <f>SUM(G161:G167)</f>
        <v>218882</v>
      </c>
      <c r="H169" s="39">
        <f>G169/F169</f>
        <v>0.85537869935792477</v>
      </c>
      <c r="I169" s="130"/>
      <c r="J169" s="93"/>
      <c r="K169" s="16" t="s">
        <v>315</v>
      </c>
    </row>
    <row r="170" spans="1:11" s="12" customFormat="1" ht="11.45" customHeight="1" x14ac:dyDescent="0.25">
      <c r="A170" s="56"/>
      <c r="B170" s="73"/>
      <c r="C170" s="181"/>
      <c r="D170" s="128" t="s">
        <v>317</v>
      </c>
      <c r="E170" s="134"/>
      <c r="F170" s="29"/>
      <c r="G170" s="147"/>
      <c r="H170" s="39">
        <f>MEDIAN(H161:H167)</f>
        <v>0.87512937595129381</v>
      </c>
      <c r="I170" s="134"/>
      <c r="J170" s="94"/>
      <c r="K170" s="16" t="s">
        <v>329</v>
      </c>
    </row>
    <row r="171" spans="1:11" x14ac:dyDescent="0.2">
      <c r="F171" s="63"/>
      <c r="G171" s="144"/>
    </row>
    <row r="172" spans="1:11" x14ac:dyDescent="0.2">
      <c r="A172" s="8" t="s">
        <v>53</v>
      </c>
      <c r="B172" s="62">
        <v>3</v>
      </c>
      <c r="C172" s="178">
        <v>5</v>
      </c>
      <c r="D172" s="112">
        <v>43830</v>
      </c>
      <c r="E172" s="132">
        <v>334</v>
      </c>
      <c r="F172" s="63">
        <v>43420</v>
      </c>
      <c r="G172" s="144">
        <v>27409</v>
      </c>
      <c r="H172" s="64">
        <v>0.63125287885766923</v>
      </c>
      <c r="I172" s="157">
        <v>130</v>
      </c>
      <c r="J172" s="89">
        <v>130</v>
      </c>
      <c r="K172" s="48" t="s">
        <v>388</v>
      </c>
    </row>
    <row r="173" spans="1:11" x14ac:dyDescent="0.2">
      <c r="A173" s="8" t="s">
        <v>55</v>
      </c>
      <c r="B173" s="62">
        <v>3</v>
      </c>
      <c r="C173" s="178">
        <v>5</v>
      </c>
      <c r="D173" s="112">
        <v>43830</v>
      </c>
      <c r="E173" s="132">
        <v>365</v>
      </c>
      <c r="F173" s="63">
        <v>38325</v>
      </c>
      <c r="G173" s="144">
        <v>33000</v>
      </c>
      <c r="H173" s="64">
        <v>0.86105675146771032</v>
      </c>
      <c r="I173" s="157">
        <v>105</v>
      </c>
      <c r="J173" s="89">
        <v>105</v>
      </c>
    </row>
    <row r="174" spans="1:11" x14ac:dyDescent="0.2">
      <c r="A174" s="8" t="s">
        <v>217</v>
      </c>
      <c r="B174" s="62">
        <v>3</v>
      </c>
      <c r="C174" s="178">
        <v>5</v>
      </c>
      <c r="D174" s="112">
        <v>43830</v>
      </c>
      <c r="E174" s="132">
        <v>365</v>
      </c>
      <c r="F174" s="63">
        <v>65700</v>
      </c>
      <c r="G174" s="144">
        <v>61058</v>
      </c>
      <c r="H174" s="64">
        <v>0.9293455098934551</v>
      </c>
      <c r="I174" s="157">
        <v>180</v>
      </c>
      <c r="J174" s="89">
        <v>180</v>
      </c>
    </row>
    <row r="175" spans="1:11" x14ac:dyDescent="0.2">
      <c r="A175" s="8" t="s">
        <v>405</v>
      </c>
      <c r="B175" s="62">
        <v>3</v>
      </c>
      <c r="C175" s="178">
        <v>5</v>
      </c>
      <c r="D175" s="112">
        <v>43830</v>
      </c>
      <c r="E175" s="132">
        <v>365</v>
      </c>
      <c r="F175" s="63">
        <f>64*365+25*(23+30+31+30+31)</f>
        <v>26985</v>
      </c>
      <c r="G175" s="144">
        <v>24257</v>
      </c>
      <c r="H175" s="64">
        <f>G175/F175</f>
        <v>0.89890680007411528</v>
      </c>
      <c r="I175" s="157">
        <v>89</v>
      </c>
      <c r="J175" s="89">
        <v>89</v>
      </c>
      <c r="K175" s="15" t="s">
        <v>406</v>
      </c>
    </row>
    <row r="176" spans="1:11" x14ac:dyDescent="0.2">
      <c r="A176" s="8" t="s">
        <v>218</v>
      </c>
      <c r="B176" s="62">
        <v>3</v>
      </c>
      <c r="C176" s="178">
        <v>5</v>
      </c>
      <c r="D176" s="112">
        <v>43830</v>
      </c>
      <c r="E176" s="132">
        <v>365</v>
      </c>
      <c r="F176" s="63">
        <v>20440</v>
      </c>
      <c r="G176" s="144">
        <v>18852</v>
      </c>
      <c r="H176" s="64">
        <v>0.92230919765166341</v>
      </c>
      <c r="I176" s="157">
        <v>56</v>
      </c>
      <c r="J176" s="89">
        <v>56</v>
      </c>
    </row>
    <row r="177" spans="1:11" x14ac:dyDescent="0.2">
      <c r="A177" s="8" t="s">
        <v>60</v>
      </c>
      <c r="B177" s="62">
        <v>3</v>
      </c>
      <c r="C177" s="178">
        <v>5</v>
      </c>
      <c r="D177" s="112">
        <v>43830</v>
      </c>
      <c r="E177" s="132">
        <v>365</v>
      </c>
      <c r="F177" s="63">
        <v>32850</v>
      </c>
      <c r="G177" s="144">
        <v>30591</v>
      </c>
      <c r="H177" s="64">
        <v>0.93123287671232879</v>
      </c>
      <c r="I177" s="157">
        <v>90</v>
      </c>
      <c r="J177" s="89">
        <v>90</v>
      </c>
    </row>
    <row r="178" spans="1:11" x14ac:dyDescent="0.2">
      <c r="A178" s="8" t="s">
        <v>222</v>
      </c>
      <c r="B178" s="62">
        <v>3</v>
      </c>
      <c r="C178" s="178">
        <v>5</v>
      </c>
      <c r="D178" s="112">
        <v>43646</v>
      </c>
      <c r="E178" s="132">
        <v>365</v>
      </c>
      <c r="F178" s="63">
        <v>43800</v>
      </c>
      <c r="G178" s="144">
        <v>39855</v>
      </c>
      <c r="H178" s="64">
        <v>0.90993150684931512</v>
      </c>
      <c r="I178" s="157">
        <v>120</v>
      </c>
      <c r="J178" s="89">
        <v>120</v>
      </c>
    </row>
    <row r="179" spans="1:11" x14ac:dyDescent="0.2">
      <c r="A179" s="8" t="s">
        <v>223</v>
      </c>
      <c r="B179" s="62">
        <v>3</v>
      </c>
      <c r="C179" s="178">
        <v>5</v>
      </c>
      <c r="D179" s="112">
        <v>43646</v>
      </c>
      <c r="E179" s="132">
        <v>365</v>
      </c>
      <c r="F179" s="63">
        <v>92345</v>
      </c>
      <c r="G179" s="144">
        <v>84155</v>
      </c>
      <c r="H179" s="64">
        <v>0.911310845200065</v>
      </c>
      <c r="I179" s="157">
        <v>253</v>
      </c>
      <c r="J179" s="89">
        <v>253</v>
      </c>
    </row>
    <row r="180" spans="1:11" x14ac:dyDescent="0.2">
      <c r="A180" s="8" t="s">
        <v>79</v>
      </c>
      <c r="B180" s="62">
        <v>3</v>
      </c>
      <c r="C180" s="178">
        <v>5</v>
      </c>
      <c r="D180" s="112">
        <v>43616</v>
      </c>
      <c r="E180" s="132">
        <v>365</v>
      </c>
      <c r="F180" s="80">
        <v>8760</v>
      </c>
      <c r="G180" s="155">
        <v>3855</v>
      </c>
      <c r="H180" s="81">
        <v>0.44006849315068491</v>
      </c>
      <c r="I180" s="157">
        <v>24</v>
      </c>
      <c r="J180" s="89">
        <v>0</v>
      </c>
      <c r="K180" s="15" t="s">
        <v>320</v>
      </c>
    </row>
    <row r="181" spans="1:11" x14ac:dyDescent="0.2">
      <c r="A181" s="8" t="s">
        <v>83</v>
      </c>
      <c r="B181" s="62">
        <v>3</v>
      </c>
      <c r="C181" s="178">
        <v>5</v>
      </c>
      <c r="D181" s="112">
        <v>43646</v>
      </c>
      <c r="E181" s="132">
        <v>365</v>
      </c>
      <c r="F181" s="63">
        <v>25550</v>
      </c>
      <c r="G181" s="144">
        <v>23903</v>
      </c>
      <c r="H181" s="64">
        <v>0.93553816046966731</v>
      </c>
      <c r="I181" s="157">
        <v>70</v>
      </c>
      <c r="J181" s="89">
        <v>70</v>
      </c>
    </row>
    <row r="182" spans="1:11" x14ac:dyDescent="0.2">
      <c r="A182" s="8" t="s">
        <v>235</v>
      </c>
      <c r="B182" s="62">
        <v>3</v>
      </c>
      <c r="C182" s="178">
        <v>5</v>
      </c>
      <c r="D182" s="112">
        <v>43830</v>
      </c>
      <c r="E182" s="132">
        <v>365</v>
      </c>
      <c r="F182" s="63">
        <v>36865</v>
      </c>
      <c r="G182" s="144">
        <v>33745</v>
      </c>
      <c r="H182" s="64">
        <v>0.91536687915366877</v>
      </c>
      <c r="I182" s="157">
        <v>101</v>
      </c>
      <c r="J182" s="89">
        <v>101</v>
      </c>
    </row>
    <row r="183" spans="1:11" x14ac:dyDescent="0.2">
      <c r="A183" s="8" t="s">
        <v>239</v>
      </c>
      <c r="B183" s="62">
        <v>3</v>
      </c>
      <c r="C183" s="178">
        <v>5</v>
      </c>
      <c r="D183" s="112">
        <v>43830</v>
      </c>
      <c r="E183" s="132">
        <v>365</v>
      </c>
      <c r="F183" s="63">
        <v>43800</v>
      </c>
      <c r="G183" s="144">
        <v>41170</v>
      </c>
      <c r="H183" s="64">
        <v>0.93995433789954341</v>
      </c>
      <c r="I183" s="157">
        <v>120</v>
      </c>
      <c r="J183" s="89">
        <v>120</v>
      </c>
    </row>
    <row r="184" spans="1:11" x14ac:dyDescent="0.2">
      <c r="A184" s="8" t="s">
        <v>240</v>
      </c>
      <c r="B184" s="62">
        <v>3</v>
      </c>
      <c r="C184" s="178">
        <v>5</v>
      </c>
      <c r="D184" s="112">
        <v>43738</v>
      </c>
      <c r="E184" s="132">
        <v>365</v>
      </c>
      <c r="F184" s="63">
        <f>305*365-25*30</f>
        <v>110575</v>
      </c>
      <c r="G184" s="144">
        <v>78674</v>
      </c>
      <c r="H184" s="64">
        <f>G184/F184</f>
        <v>0.71149898259100153</v>
      </c>
      <c r="I184" s="157">
        <v>280</v>
      </c>
      <c r="J184" s="89">
        <v>256</v>
      </c>
      <c r="K184" s="15" t="s">
        <v>407</v>
      </c>
    </row>
    <row r="185" spans="1:11" x14ac:dyDescent="0.2">
      <c r="A185" s="8" t="s">
        <v>244</v>
      </c>
      <c r="B185" s="62">
        <v>3</v>
      </c>
      <c r="C185" s="178">
        <v>5</v>
      </c>
      <c r="D185" s="112">
        <v>43830</v>
      </c>
      <c r="E185" s="132">
        <v>365</v>
      </c>
      <c r="F185" s="63">
        <v>87600</v>
      </c>
      <c r="G185" s="144">
        <v>78245</v>
      </c>
      <c r="H185" s="64">
        <v>0.89320776255707768</v>
      </c>
      <c r="I185" s="157">
        <v>240</v>
      </c>
      <c r="J185" s="89">
        <v>240</v>
      </c>
    </row>
    <row r="186" spans="1:11" x14ac:dyDescent="0.2">
      <c r="A186" s="8" t="s">
        <v>84</v>
      </c>
      <c r="B186" s="62">
        <v>3</v>
      </c>
      <c r="C186" s="178">
        <v>5</v>
      </c>
      <c r="D186" s="112">
        <v>43708</v>
      </c>
      <c r="E186" s="132">
        <v>365</v>
      </c>
      <c r="F186" s="63">
        <v>16425</v>
      </c>
      <c r="G186" s="144">
        <v>15347</v>
      </c>
      <c r="H186" s="64">
        <v>0.93436834094368337</v>
      </c>
      <c r="I186" s="157">
        <v>45</v>
      </c>
      <c r="J186" s="89">
        <v>45</v>
      </c>
    </row>
    <row r="187" spans="1:11" x14ac:dyDescent="0.2">
      <c r="A187" s="8" t="s">
        <v>85</v>
      </c>
      <c r="B187" s="62">
        <v>3</v>
      </c>
      <c r="C187" s="178">
        <v>5</v>
      </c>
      <c r="D187" s="112">
        <v>43830</v>
      </c>
      <c r="E187" s="132">
        <v>214</v>
      </c>
      <c r="F187" s="63">
        <v>20972</v>
      </c>
      <c r="G187" s="144">
        <v>18694</v>
      </c>
      <c r="H187" s="64">
        <v>0.89137898149914174</v>
      </c>
      <c r="I187" s="157">
        <v>98</v>
      </c>
      <c r="J187" s="89">
        <v>48</v>
      </c>
    </row>
    <row r="188" spans="1:11" x14ac:dyDescent="0.2">
      <c r="A188" s="8" t="s">
        <v>246</v>
      </c>
      <c r="B188" s="62">
        <v>3</v>
      </c>
      <c r="C188" s="178">
        <v>5</v>
      </c>
      <c r="D188" s="112">
        <v>43830</v>
      </c>
      <c r="E188" s="132">
        <v>365</v>
      </c>
      <c r="F188" s="63">
        <v>43800</v>
      </c>
      <c r="G188" s="144">
        <v>41359</v>
      </c>
      <c r="H188" s="64">
        <v>0.94426940639269408</v>
      </c>
      <c r="I188" s="157">
        <v>120</v>
      </c>
      <c r="J188" s="89">
        <v>120</v>
      </c>
    </row>
    <row r="189" spans="1:11" x14ac:dyDescent="0.2">
      <c r="A189" s="8" t="s">
        <v>86</v>
      </c>
      <c r="B189" s="62">
        <v>3</v>
      </c>
      <c r="C189" s="178">
        <v>5</v>
      </c>
      <c r="D189" s="112">
        <v>43830</v>
      </c>
      <c r="E189" s="132">
        <v>365</v>
      </c>
      <c r="F189" s="68">
        <v>11680</v>
      </c>
      <c r="G189" s="146">
        <v>10658</v>
      </c>
      <c r="H189" s="69">
        <v>0.91249999999999998</v>
      </c>
      <c r="I189" s="157">
        <v>32</v>
      </c>
      <c r="J189" s="89">
        <v>0</v>
      </c>
      <c r="K189" s="15" t="s">
        <v>320</v>
      </c>
    </row>
    <row r="190" spans="1:11" x14ac:dyDescent="0.2">
      <c r="A190" s="8" t="s">
        <v>87</v>
      </c>
      <c r="B190" s="62">
        <v>3</v>
      </c>
      <c r="C190" s="178">
        <v>5</v>
      </c>
      <c r="D190" s="112">
        <v>43830</v>
      </c>
      <c r="E190" s="132">
        <v>365</v>
      </c>
      <c r="F190" s="68">
        <v>22630</v>
      </c>
      <c r="G190" s="146">
        <v>19198</v>
      </c>
      <c r="H190" s="69">
        <v>0.84834290764471942</v>
      </c>
      <c r="I190" s="157">
        <v>62</v>
      </c>
      <c r="J190" s="89">
        <v>62</v>
      </c>
      <c r="K190" s="15" t="s">
        <v>320</v>
      </c>
    </row>
    <row r="191" spans="1:11" x14ac:dyDescent="0.2">
      <c r="A191" s="23" t="s">
        <v>251</v>
      </c>
      <c r="B191" s="82">
        <v>3</v>
      </c>
      <c r="C191" s="187">
        <v>5</v>
      </c>
      <c r="D191" s="116">
        <v>43646</v>
      </c>
      <c r="E191" s="140">
        <v>365</v>
      </c>
      <c r="F191" s="66">
        <v>65700</v>
      </c>
      <c r="G191" s="145">
        <v>62292</v>
      </c>
      <c r="H191" s="67">
        <v>0.94812785388127852</v>
      </c>
      <c r="I191" s="168">
        <v>180</v>
      </c>
      <c r="J191" s="101">
        <v>180</v>
      </c>
      <c r="K191" s="15" t="s">
        <v>344</v>
      </c>
    </row>
    <row r="192" spans="1:11" x14ac:dyDescent="0.2">
      <c r="A192" s="8" t="s">
        <v>90</v>
      </c>
      <c r="B192" s="62">
        <v>3</v>
      </c>
      <c r="C192" s="178">
        <v>5</v>
      </c>
      <c r="D192" s="112">
        <v>43830</v>
      </c>
      <c r="E192" s="132">
        <v>365</v>
      </c>
      <c r="F192" s="63">
        <v>21900</v>
      </c>
      <c r="G192" s="144">
        <v>19942</v>
      </c>
      <c r="H192" s="64">
        <v>0.91059360730593608</v>
      </c>
      <c r="I192" s="157">
        <v>60</v>
      </c>
      <c r="J192" s="89">
        <v>60</v>
      </c>
    </row>
    <row r="193" spans="1:11" s="12" customFormat="1" ht="11.45" customHeight="1" x14ac:dyDescent="0.25">
      <c r="A193" s="54" t="s">
        <v>341</v>
      </c>
      <c r="B193" s="72">
        <f>COUNTA(B172:B192)-1</f>
        <v>20</v>
      </c>
      <c r="C193" s="179"/>
      <c r="D193" s="126"/>
      <c r="E193" s="133"/>
      <c r="F193" s="29">
        <f>SUM(F172:F192)-F191</f>
        <v>814422</v>
      </c>
      <c r="G193" s="147">
        <f>SUM(G172:G192)-G191</f>
        <v>703967</v>
      </c>
      <c r="H193" s="161">
        <f>G193/F193</f>
        <v>0.86437620791186875</v>
      </c>
      <c r="I193" s="133">
        <f>SUM(I172:I192)-I191</f>
        <v>2275</v>
      </c>
      <c r="J193" s="90">
        <f>SUM(J172:J192)-J191</f>
        <v>2145</v>
      </c>
      <c r="K193" s="16" t="s">
        <v>323</v>
      </c>
    </row>
    <row r="194" spans="1:11" s="14" customFormat="1" ht="11.45" customHeight="1" x14ac:dyDescent="0.25">
      <c r="A194" s="55" t="s">
        <v>316</v>
      </c>
      <c r="B194" s="176"/>
      <c r="C194" s="180"/>
      <c r="D194" s="127"/>
      <c r="E194" s="130"/>
      <c r="F194" s="13">
        <f>SUM(F172:F179,F181:F188,F192)</f>
        <v>771352</v>
      </c>
      <c r="G194" s="148">
        <f>SUM(G172:G179,G181:G188,G192)</f>
        <v>670256</v>
      </c>
      <c r="H194" s="39">
        <f>G194/F194</f>
        <v>0.86893662037565211</v>
      </c>
      <c r="I194" s="130"/>
      <c r="J194" s="93"/>
      <c r="K194" s="16" t="s">
        <v>323</v>
      </c>
    </row>
    <row r="195" spans="1:11" s="12" customFormat="1" ht="11.45" customHeight="1" x14ac:dyDescent="0.25">
      <c r="A195" s="56"/>
      <c r="B195" s="73"/>
      <c r="C195" s="181"/>
      <c r="D195" s="128" t="s">
        <v>317</v>
      </c>
      <c r="E195" s="134"/>
      <c r="F195" s="29"/>
      <c r="G195" s="147"/>
      <c r="H195" s="39">
        <f>MEDIAN(H172:H179,H181:H188,H192)</f>
        <v>0.911310845200065</v>
      </c>
      <c r="I195" s="134"/>
      <c r="J195" s="94"/>
      <c r="K195" s="16" t="s">
        <v>329</v>
      </c>
    </row>
    <row r="196" spans="1:11" s="26" customFormat="1" ht="12" customHeight="1" x14ac:dyDescent="0.2">
      <c r="B196" s="83"/>
      <c r="C196" s="188"/>
      <c r="D196" s="117"/>
      <c r="E196" s="141"/>
      <c r="F196" s="27"/>
      <c r="G196" s="156"/>
      <c r="H196" s="28"/>
      <c r="I196" s="169"/>
      <c r="J196" s="102"/>
      <c r="K196" s="50"/>
    </row>
    <row r="197" spans="1:11" x14ac:dyDescent="0.2">
      <c r="A197" s="8" t="s">
        <v>52</v>
      </c>
      <c r="B197" s="62">
        <v>3</v>
      </c>
      <c r="C197" s="178">
        <v>11</v>
      </c>
      <c r="D197" s="112">
        <v>43830</v>
      </c>
      <c r="E197" s="132">
        <v>184</v>
      </c>
      <c r="F197" s="63">
        <v>22080</v>
      </c>
      <c r="G197" s="144">
        <v>19226</v>
      </c>
      <c r="H197" s="64">
        <v>0.87074275362318843</v>
      </c>
      <c r="I197" s="157">
        <v>120</v>
      </c>
      <c r="J197" s="89">
        <v>120</v>
      </c>
      <c r="K197" s="48" t="s">
        <v>388</v>
      </c>
    </row>
    <row r="198" spans="1:11" x14ac:dyDescent="0.2">
      <c r="A198" s="8" t="s">
        <v>216</v>
      </c>
      <c r="B198" s="62">
        <v>3</v>
      </c>
      <c r="C198" s="178">
        <v>11</v>
      </c>
      <c r="D198" s="112">
        <v>43830</v>
      </c>
      <c r="E198" s="132">
        <v>365</v>
      </c>
      <c r="F198" s="63">
        <v>21900</v>
      </c>
      <c r="G198" s="144">
        <v>20336</v>
      </c>
      <c r="H198" s="64">
        <v>0.92858447488584472</v>
      </c>
      <c r="I198" s="157">
        <v>60</v>
      </c>
      <c r="J198" s="89">
        <v>60</v>
      </c>
    </row>
    <row r="199" spans="1:11" x14ac:dyDescent="0.2">
      <c r="A199" s="8" t="s">
        <v>56</v>
      </c>
      <c r="B199" s="62">
        <v>3</v>
      </c>
      <c r="C199" s="178">
        <v>11</v>
      </c>
      <c r="D199" s="112">
        <v>43830</v>
      </c>
      <c r="E199" s="132">
        <v>365</v>
      </c>
      <c r="F199" s="63">
        <v>40515</v>
      </c>
      <c r="G199" s="144">
        <v>38081</v>
      </c>
      <c r="H199" s="64">
        <v>0.93992348512896462</v>
      </c>
      <c r="I199" s="157">
        <v>111</v>
      </c>
      <c r="J199" s="89">
        <v>111</v>
      </c>
    </row>
    <row r="200" spans="1:11" x14ac:dyDescent="0.2">
      <c r="A200" s="8" t="s">
        <v>57</v>
      </c>
      <c r="B200" s="62">
        <v>3</v>
      </c>
      <c r="C200" s="178">
        <v>11</v>
      </c>
      <c r="D200" s="112">
        <v>43646</v>
      </c>
      <c r="E200" s="132">
        <v>365</v>
      </c>
      <c r="F200" s="63">
        <v>32850</v>
      </c>
      <c r="G200" s="144">
        <v>31741</v>
      </c>
      <c r="H200" s="64">
        <v>0.96624048706240484</v>
      </c>
      <c r="I200" s="157">
        <v>90</v>
      </c>
      <c r="J200" s="89">
        <v>90</v>
      </c>
    </row>
    <row r="201" spans="1:11" x14ac:dyDescent="0.2">
      <c r="A201" s="8" t="s">
        <v>58</v>
      </c>
      <c r="B201" s="62">
        <v>3</v>
      </c>
      <c r="C201" s="178">
        <v>11</v>
      </c>
      <c r="D201" s="112">
        <v>43830</v>
      </c>
      <c r="E201" s="132">
        <v>365</v>
      </c>
      <c r="F201" s="63">
        <v>40515</v>
      </c>
      <c r="G201" s="144">
        <v>34904</v>
      </c>
      <c r="H201" s="64">
        <v>0.86150808342589169</v>
      </c>
      <c r="I201" s="157">
        <v>111</v>
      </c>
      <c r="J201" s="89">
        <v>99</v>
      </c>
    </row>
    <row r="202" spans="1:11" x14ac:dyDescent="0.2">
      <c r="A202" s="8" t="s">
        <v>63</v>
      </c>
      <c r="B202" s="62">
        <v>3</v>
      </c>
      <c r="C202" s="178">
        <v>11</v>
      </c>
      <c r="D202" s="112">
        <v>43830</v>
      </c>
      <c r="E202" s="132">
        <v>365</v>
      </c>
      <c r="F202" s="63">
        <v>35405</v>
      </c>
      <c r="G202" s="144">
        <v>24897</v>
      </c>
      <c r="H202" s="64">
        <v>0.70320576189803696</v>
      </c>
      <c r="I202" s="157">
        <v>97</v>
      </c>
      <c r="J202" s="89">
        <v>97</v>
      </c>
    </row>
    <row r="203" spans="1:11" x14ac:dyDescent="0.2">
      <c r="A203" s="8" t="s">
        <v>65</v>
      </c>
      <c r="B203" s="62">
        <v>3</v>
      </c>
      <c r="C203" s="178">
        <v>11</v>
      </c>
      <c r="D203" s="112">
        <v>43830</v>
      </c>
      <c r="E203" s="132">
        <v>365</v>
      </c>
      <c r="F203" s="63">
        <v>43800</v>
      </c>
      <c r="G203" s="144">
        <v>40851</v>
      </c>
      <c r="H203" s="64">
        <v>0.93267123287671228</v>
      </c>
      <c r="I203" s="157">
        <v>120</v>
      </c>
      <c r="J203" s="89">
        <v>120</v>
      </c>
    </row>
    <row r="204" spans="1:11" x14ac:dyDescent="0.2">
      <c r="A204" s="8" t="s">
        <v>69</v>
      </c>
      <c r="B204" s="62">
        <v>3</v>
      </c>
      <c r="C204" s="178">
        <v>11</v>
      </c>
      <c r="D204" s="112">
        <v>43830</v>
      </c>
      <c r="E204" s="132">
        <v>365</v>
      </c>
      <c r="F204" s="63">
        <v>47450</v>
      </c>
      <c r="G204" s="144">
        <v>32330</v>
      </c>
      <c r="H204" s="64">
        <v>0.68134878819810329</v>
      </c>
      <c r="I204" s="157">
        <v>130</v>
      </c>
      <c r="J204" s="89">
        <v>130</v>
      </c>
    </row>
    <row r="205" spans="1:11" x14ac:dyDescent="0.2">
      <c r="A205" s="8" t="s">
        <v>72</v>
      </c>
      <c r="B205" s="62">
        <v>3</v>
      </c>
      <c r="C205" s="178">
        <v>11</v>
      </c>
      <c r="D205" s="112">
        <v>43830</v>
      </c>
      <c r="E205" s="132">
        <v>365</v>
      </c>
      <c r="F205" s="63">
        <v>21900</v>
      </c>
      <c r="G205" s="144">
        <v>20447</v>
      </c>
      <c r="H205" s="64">
        <v>0.93365296803652964</v>
      </c>
      <c r="I205" s="157">
        <v>60</v>
      </c>
      <c r="J205" s="89">
        <v>60</v>
      </c>
    </row>
    <row r="206" spans="1:11" x14ac:dyDescent="0.2">
      <c r="A206" s="8" t="s">
        <v>229</v>
      </c>
      <c r="B206" s="62">
        <v>3</v>
      </c>
      <c r="C206" s="178">
        <v>11</v>
      </c>
      <c r="D206" s="112">
        <v>43830</v>
      </c>
      <c r="E206" s="132">
        <v>365</v>
      </c>
      <c r="F206" s="63">
        <v>32850</v>
      </c>
      <c r="G206" s="144">
        <v>27548</v>
      </c>
      <c r="H206" s="64">
        <v>0.83859969558599701</v>
      </c>
      <c r="I206" s="157">
        <v>90</v>
      </c>
      <c r="J206" s="89">
        <v>90</v>
      </c>
    </row>
    <row r="207" spans="1:11" x14ac:dyDescent="0.2">
      <c r="A207" s="8" t="s">
        <v>230</v>
      </c>
      <c r="B207" s="62">
        <v>3</v>
      </c>
      <c r="C207" s="178">
        <v>11</v>
      </c>
      <c r="D207" s="112">
        <v>43830</v>
      </c>
      <c r="E207" s="132">
        <v>365</v>
      </c>
      <c r="F207" s="63">
        <v>65700</v>
      </c>
      <c r="G207" s="144">
        <v>59111</v>
      </c>
      <c r="H207" s="64">
        <v>0.89971080669710801</v>
      </c>
      <c r="I207" s="157">
        <v>180</v>
      </c>
      <c r="J207" s="89">
        <v>180</v>
      </c>
    </row>
    <row r="208" spans="1:11" x14ac:dyDescent="0.2">
      <c r="A208" s="8" t="s">
        <v>232</v>
      </c>
      <c r="B208" s="62">
        <v>3</v>
      </c>
      <c r="C208" s="178">
        <v>11</v>
      </c>
      <c r="D208" s="112">
        <v>43830</v>
      </c>
      <c r="E208" s="132">
        <v>365</v>
      </c>
      <c r="F208" s="63">
        <v>43070</v>
      </c>
      <c r="G208" s="144">
        <v>34641</v>
      </c>
      <c r="H208" s="64">
        <v>0.80429533317854651</v>
      </c>
      <c r="I208" s="157">
        <v>118</v>
      </c>
      <c r="J208" s="89">
        <v>118</v>
      </c>
    </row>
    <row r="209" spans="1:11" x14ac:dyDescent="0.2">
      <c r="A209" s="8" t="s">
        <v>248</v>
      </c>
      <c r="B209" s="62">
        <v>3</v>
      </c>
      <c r="C209" s="178">
        <v>11</v>
      </c>
      <c r="D209" s="112">
        <v>43830</v>
      </c>
      <c r="E209" s="132">
        <v>365</v>
      </c>
      <c r="F209" s="63">
        <v>43800</v>
      </c>
      <c r="G209" s="144">
        <v>31915</v>
      </c>
      <c r="H209" s="64">
        <v>0.72865296803652968</v>
      </c>
      <c r="I209" s="157">
        <v>120</v>
      </c>
      <c r="J209" s="89">
        <v>64</v>
      </c>
    </row>
    <row r="210" spans="1:11" x14ac:dyDescent="0.2">
      <c r="A210" s="8" t="s">
        <v>88</v>
      </c>
      <c r="B210" s="62">
        <v>3</v>
      </c>
      <c r="C210" s="178">
        <v>11</v>
      </c>
      <c r="D210" s="112">
        <v>43738</v>
      </c>
      <c r="E210" s="132">
        <v>365</v>
      </c>
      <c r="F210" s="68">
        <v>38325</v>
      </c>
      <c r="G210" s="146">
        <v>34652</v>
      </c>
      <c r="H210" s="69">
        <v>0.90416177429876055</v>
      </c>
      <c r="I210" s="157">
        <v>105</v>
      </c>
      <c r="J210" s="89">
        <v>80</v>
      </c>
      <c r="K210" s="15" t="s">
        <v>320</v>
      </c>
    </row>
    <row r="211" spans="1:11" x14ac:dyDescent="0.2">
      <c r="A211" s="8" t="s">
        <v>89</v>
      </c>
      <c r="B211" s="62">
        <v>3</v>
      </c>
      <c r="C211" s="178">
        <v>11</v>
      </c>
      <c r="D211" s="112">
        <v>43830</v>
      </c>
      <c r="E211" s="132">
        <v>365</v>
      </c>
      <c r="F211" s="66">
        <v>17520</v>
      </c>
      <c r="G211" s="145">
        <v>10459</v>
      </c>
      <c r="H211" s="67">
        <v>0.59697488584474889</v>
      </c>
      <c r="I211" s="157">
        <v>48</v>
      </c>
      <c r="J211" s="89">
        <v>0</v>
      </c>
      <c r="K211" s="15" t="s">
        <v>318</v>
      </c>
    </row>
    <row r="212" spans="1:11" s="12" customFormat="1" ht="11.45" customHeight="1" x14ac:dyDescent="0.25">
      <c r="A212" s="54" t="s">
        <v>346</v>
      </c>
      <c r="B212" s="72">
        <f>COUNTA(B197:B211)</f>
        <v>15</v>
      </c>
      <c r="C212" s="179"/>
      <c r="D212" s="126"/>
      <c r="E212" s="133"/>
      <c r="F212" s="29">
        <f>SUM(F197:F211)</f>
        <v>547680</v>
      </c>
      <c r="G212" s="147">
        <f>SUM(G197:G211)</f>
        <v>461139</v>
      </c>
      <c r="H212" s="161">
        <f>G212/F212</f>
        <v>0.84198619631901839</v>
      </c>
      <c r="I212" s="133">
        <f>SUM(I197:I211)</f>
        <v>1560</v>
      </c>
      <c r="J212" s="90">
        <f>SUM(J197:J211)</f>
        <v>1419</v>
      </c>
      <c r="K212" s="16" t="s">
        <v>347</v>
      </c>
    </row>
    <row r="213" spans="1:11" s="14" customFormat="1" ht="11.45" customHeight="1" x14ac:dyDescent="0.25">
      <c r="A213" s="55" t="s">
        <v>316</v>
      </c>
      <c r="B213" s="176"/>
      <c r="C213" s="180"/>
      <c r="D213" s="127"/>
      <c r="E213" s="130"/>
      <c r="F213" s="13">
        <f>SUM(F197:F209)</f>
        <v>491835</v>
      </c>
      <c r="G213" s="148">
        <f>SUM(G197:G209)</f>
        <v>416028</v>
      </c>
      <c r="H213" s="39">
        <f>G213/F213</f>
        <v>0.84586904144682673</v>
      </c>
      <c r="I213" s="130"/>
      <c r="J213" s="93"/>
      <c r="K213" s="16" t="s">
        <v>323</v>
      </c>
    </row>
    <row r="214" spans="1:11" s="12" customFormat="1" ht="11.45" customHeight="1" x14ac:dyDescent="0.25">
      <c r="A214" s="56"/>
      <c r="B214" s="73"/>
      <c r="C214" s="181"/>
      <c r="D214" s="128" t="s">
        <v>317</v>
      </c>
      <c r="E214" s="134"/>
      <c r="F214" s="29"/>
      <c r="G214" s="147"/>
      <c r="H214" s="39">
        <f>MEDIAN(H197:H209)</f>
        <v>0.87074275362318843</v>
      </c>
      <c r="I214" s="134"/>
      <c r="J214" s="94"/>
      <c r="K214" s="16" t="s">
        <v>329</v>
      </c>
    </row>
    <row r="215" spans="1:11" x14ac:dyDescent="0.2">
      <c r="F215" s="63"/>
      <c r="G215" s="144"/>
      <c r="K215" s="32"/>
    </row>
    <row r="216" spans="1:11" x14ac:dyDescent="0.2">
      <c r="A216" s="8" t="s">
        <v>59</v>
      </c>
      <c r="B216" s="62">
        <v>3</v>
      </c>
      <c r="C216" s="178">
        <v>12</v>
      </c>
      <c r="D216" s="112">
        <v>43646</v>
      </c>
      <c r="E216" s="132">
        <v>181</v>
      </c>
      <c r="F216" s="63">
        <v>34390</v>
      </c>
      <c r="G216" s="144">
        <v>29464</v>
      </c>
      <c r="H216" s="64">
        <v>0.85676068624600177</v>
      </c>
      <c r="I216" s="157">
        <v>190</v>
      </c>
      <c r="J216" s="89">
        <v>190</v>
      </c>
      <c r="K216" s="15" t="s">
        <v>408</v>
      </c>
    </row>
    <row r="217" spans="1:11" x14ac:dyDescent="0.2">
      <c r="A217" s="8" t="s">
        <v>219</v>
      </c>
      <c r="B217" s="62">
        <v>3</v>
      </c>
      <c r="C217" s="178">
        <v>12</v>
      </c>
      <c r="D217" s="112">
        <v>43830</v>
      </c>
      <c r="E217" s="132">
        <v>365</v>
      </c>
      <c r="F217" s="63">
        <v>31025</v>
      </c>
      <c r="G217" s="144">
        <v>28432</v>
      </c>
      <c r="H217" s="64">
        <v>0.91642224012892826</v>
      </c>
      <c r="I217" s="157">
        <v>85</v>
      </c>
      <c r="J217" s="89">
        <v>85</v>
      </c>
    </row>
    <row r="218" spans="1:11" x14ac:dyDescent="0.2">
      <c r="A218" s="8" t="s">
        <v>64</v>
      </c>
      <c r="B218" s="62">
        <v>3</v>
      </c>
      <c r="C218" s="178">
        <v>12</v>
      </c>
      <c r="D218" s="112">
        <v>43830</v>
      </c>
      <c r="E218" s="132">
        <v>365</v>
      </c>
      <c r="F218" s="63">
        <v>21900</v>
      </c>
      <c r="G218" s="144">
        <v>19353</v>
      </c>
      <c r="H218" s="64">
        <v>0.88369863013698635</v>
      </c>
      <c r="I218" s="157">
        <v>60</v>
      </c>
      <c r="J218" s="89">
        <v>34</v>
      </c>
      <c r="K218" s="15" t="s">
        <v>409</v>
      </c>
    </row>
    <row r="219" spans="1:11" x14ac:dyDescent="0.2">
      <c r="A219" s="8" t="s">
        <v>221</v>
      </c>
      <c r="B219" s="62">
        <v>3</v>
      </c>
      <c r="C219" s="178">
        <v>12</v>
      </c>
      <c r="D219" s="112">
        <v>43830</v>
      </c>
      <c r="E219" s="132">
        <v>365</v>
      </c>
      <c r="F219" s="63">
        <v>43800</v>
      </c>
      <c r="G219" s="144">
        <v>41283</v>
      </c>
      <c r="H219" s="64">
        <v>0.94253424657534246</v>
      </c>
      <c r="I219" s="157">
        <v>120</v>
      </c>
      <c r="J219" s="89">
        <v>120</v>
      </c>
    </row>
    <row r="220" spans="1:11" x14ac:dyDescent="0.2">
      <c r="A220" s="8" t="s">
        <v>225</v>
      </c>
      <c r="B220" s="62">
        <v>3</v>
      </c>
      <c r="C220" s="178">
        <v>12</v>
      </c>
      <c r="D220" s="112">
        <v>43830</v>
      </c>
      <c r="E220" s="132">
        <v>365</v>
      </c>
      <c r="F220" s="63">
        <v>32850</v>
      </c>
      <c r="G220" s="144">
        <v>31324</v>
      </c>
      <c r="H220" s="64">
        <v>0.95354642313546423</v>
      </c>
      <c r="I220" s="157">
        <v>90</v>
      </c>
      <c r="J220" s="89">
        <v>90</v>
      </c>
    </row>
    <row r="221" spans="1:11" x14ac:dyDescent="0.2">
      <c r="A221" s="8" t="s">
        <v>80</v>
      </c>
      <c r="B221" s="62">
        <v>3</v>
      </c>
      <c r="C221" s="178">
        <v>12</v>
      </c>
      <c r="D221" s="112">
        <v>43830</v>
      </c>
      <c r="E221" s="132">
        <v>365</v>
      </c>
      <c r="F221" s="68">
        <v>11680</v>
      </c>
      <c r="G221" s="146">
        <v>9938</v>
      </c>
      <c r="H221" s="69">
        <v>0.8508561643835616</v>
      </c>
      <c r="I221" s="157">
        <v>32</v>
      </c>
      <c r="J221" s="89">
        <v>32</v>
      </c>
      <c r="K221" s="15" t="s">
        <v>320</v>
      </c>
    </row>
    <row r="222" spans="1:11" x14ac:dyDescent="0.2">
      <c r="A222" s="8" t="s">
        <v>81</v>
      </c>
      <c r="B222" s="62">
        <v>3</v>
      </c>
      <c r="C222" s="178">
        <v>12</v>
      </c>
      <c r="D222" s="112">
        <v>43830</v>
      </c>
      <c r="E222" s="132">
        <v>365</v>
      </c>
      <c r="F222" s="63">
        <v>51100</v>
      </c>
      <c r="G222" s="144">
        <v>42524</v>
      </c>
      <c r="H222" s="64">
        <v>0.83217221135029351</v>
      </c>
      <c r="I222" s="157">
        <v>140</v>
      </c>
      <c r="J222" s="89">
        <v>140</v>
      </c>
    </row>
    <row r="223" spans="1:11" x14ac:dyDescent="0.2">
      <c r="A223" s="8" t="s">
        <v>236</v>
      </c>
      <c r="B223" s="62">
        <v>3</v>
      </c>
      <c r="C223" s="178">
        <v>12</v>
      </c>
      <c r="D223" s="112">
        <v>43830</v>
      </c>
      <c r="E223" s="132">
        <v>365</v>
      </c>
      <c r="F223" s="63">
        <v>43800</v>
      </c>
      <c r="G223" s="144">
        <v>40898</v>
      </c>
      <c r="H223" s="64">
        <v>0.93374429223744293</v>
      </c>
      <c r="I223" s="157">
        <v>120</v>
      </c>
      <c r="J223" s="89">
        <v>120</v>
      </c>
    </row>
    <row r="224" spans="1:11" x14ac:dyDescent="0.2">
      <c r="A224" s="8" t="s">
        <v>241</v>
      </c>
      <c r="B224" s="62">
        <v>3</v>
      </c>
      <c r="C224" s="178">
        <v>12</v>
      </c>
      <c r="D224" s="112">
        <v>43830</v>
      </c>
      <c r="E224" s="132">
        <v>365</v>
      </c>
      <c r="F224" s="63">
        <v>65700</v>
      </c>
      <c r="G224" s="144">
        <v>60308</v>
      </c>
      <c r="H224" s="64">
        <v>0.91792998477929988</v>
      </c>
      <c r="I224" s="157">
        <v>180</v>
      </c>
      <c r="J224" s="89">
        <v>180</v>
      </c>
    </row>
    <row r="225" spans="1:11" x14ac:dyDescent="0.2">
      <c r="A225" s="8" t="s">
        <v>242</v>
      </c>
      <c r="B225" s="62">
        <v>3</v>
      </c>
      <c r="C225" s="178">
        <v>12</v>
      </c>
      <c r="D225" s="112">
        <v>43830</v>
      </c>
      <c r="E225" s="132">
        <v>365</v>
      </c>
      <c r="F225" s="63">
        <v>65700</v>
      </c>
      <c r="G225" s="144">
        <v>39632</v>
      </c>
      <c r="H225" s="64">
        <v>0.60322678843226785</v>
      </c>
      <c r="I225" s="157">
        <v>180</v>
      </c>
      <c r="J225" s="89">
        <v>180</v>
      </c>
    </row>
    <row r="226" spans="1:11" x14ac:dyDescent="0.2">
      <c r="A226" s="8" t="s">
        <v>243</v>
      </c>
      <c r="B226" s="62">
        <v>3</v>
      </c>
      <c r="C226" s="178">
        <v>12</v>
      </c>
      <c r="D226" s="112">
        <v>43830</v>
      </c>
      <c r="E226" s="132">
        <v>365</v>
      </c>
      <c r="F226" s="63">
        <v>113880</v>
      </c>
      <c r="G226" s="144">
        <v>100208</v>
      </c>
      <c r="H226" s="64">
        <v>0.8799438004917457</v>
      </c>
      <c r="I226" s="157">
        <v>312</v>
      </c>
      <c r="J226" s="89">
        <v>312</v>
      </c>
    </row>
    <row r="227" spans="1:11" x14ac:dyDescent="0.2">
      <c r="A227" s="8" t="s">
        <v>247</v>
      </c>
      <c r="B227" s="62">
        <v>3</v>
      </c>
      <c r="C227" s="178">
        <v>12</v>
      </c>
      <c r="D227" s="112">
        <v>43830</v>
      </c>
      <c r="E227" s="132">
        <v>365</v>
      </c>
      <c r="F227" s="63">
        <v>43800</v>
      </c>
      <c r="G227" s="144">
        <v>39410</v>
      </c>
      <c r="H227" s="64">
        <v>0.89977168949771691</v>
      </c>
      <c r="I227" s="157">
        <v>120</v>
      </c>
      <c r="J227" s="89">
        <v>120</v>
      </c>
    </row>
    <row r="228" spans="1:11" s="12" customFormat="1" ht="11.45" customHeight="1" x14ac:dyDescent="0.25">
      <c r="A228" s="54" t="s">
        <v>348</v>
      </c>
      <c r="B228" s="72">
        <f>COUNTA(B216:B227)</f>
        <v>12</v>
      </c>
      <c r="C228" s="179"/>
      <c r="D228" s="126"/>
      <c r="E228" s="133"/>
      <c r="F228" s="29">
        <f>SUM(F216:F227)</f>
        <v>559625</v>
      </c>
      <c r="G228" s="147">
        <f>SUM(G216:G227)</f>
        <v>482774</v>
      </c>
      <c r="H228" s="161">
        <f>G228/F228</f>
        <v>0.86267411212865763</v>
      </c>
      <c r="I228" s="133">
        <f>SUM(I216:I227)</f>
        <v>1629</v>
      </c>
      <c r="J228" s="90">
        <f>SUM(J216:J227)</f>
        <v>1603</v>
      </c>
      <c r="K228" s="16" t="s">
        <v>315</v>
      </c>
    </row>
    <row r="229" spans="1:11" s="14" customFormat="1" ht="11.45" customHeight="1" x14ac:dyDescent="0.25">
      <c r="A229" s="55" t="s">
        <v>316</v>
      </c>
      <c r="B229" s="176"/>
      <c r="C229" s="180"/>
      <c r="D229" s="127"/>
      <c r="E229" s="130"/>
      <c r="F229" s="13">
        <f>SUM(F216:F220,F222:F227)</f>
        <v>547945</v>
      </c>
      <c r="G229" s="148">
        <f>SUM(G216:G220,G222:G227)</f>
        <v>472836</v>
      </c>
      <c r="H229" s="39">
        <f>G229/F229</f>
        <v>0.8629260235972589</v>
      </c>
      <c r="I229" s="130"/>
      <c r="J229" s="93"/>
      <c r="K229" s="16" t="s">
        <v>315</v>
      </c>
    </row>
    <row r="230" spans="1:11" s="12" customFormat="1" ht="11.45" customHeight="1" x14ac:dyDescent="0.25">
      <c r="A230" s="56"/>
      <c r="B230" s="73"/>
      <c r="C230" s="181"/>
      <c r="D230" s="128" t="s">
        <v>317</v>
      </c>
      <c r="E230" s="134"/>
      <c r="F230" s="29"/>
      <c r="G230" s="147"/>
      <c r="H230" s="39">
        <f>MEDIAN(H216:H220,H222:H227)</f>
        <v>0.89977168949771691</v>
      </c>
      <c r="I230" s="134"/>
      <c r="J230" s="94"/>
      <c r="K230" s="16" t="s">
        <v>326</v>
      </c>
    </row>
    <row r="231" spans="1:11" x14ac:dyDescent="0.2">
      <c r="F231" s="63"/>
      <c r="G231" s="144"/>
    </row>
    <row r="232" spans="1:11" s="12" customFormat="1" ht="11.45" customHeight="1" x14ac:dyDescent="0.25">
      <c r="A232" s="54" t="s">
        <v>349</v>
      </c>
      <c r="B232" s="72">
        <f>SUM(B128,B138,B157,B168,B193,B212,B228)</f>
        <v>81</v>
      </c>
      <c r="C232" s="179"/>
      <c r="D232" s="126"/>
      <c r="E232" s="133"/>
      <c r="F232" s="17">
        <f>SUM(F128,F138,F157,F168,F193,F212,F228)</f>
        <v>3154481</v>
      </c>
      <c r="G232" s="151">
        <f>SUM(G128,G138,G157,G168,G193,G212,G228)</f>
        <v>2726746</v>
      </c>
      <c r="H232" s="161">
        <f>G232/F232</f>
        <v>0.86440400179934507</v>
      </c>
      <c r="I232" s="133">
        <f>SUM(I128,I138,I157,I168,I193,I212,I228)</f>
        <v>8952</v>
      </c>
      <c r="J232" s="90">
        <f>SUM(J128,J138,J157,J168,J193,J212,J228)</f>
        <v>8625</v>
      </c>
      <c r="K232" s="16" t="s">
        <v>315</v>
      </c>
    </row>
    <row r="233" spans="1:11" s="12" customFormat="1" ht="11.45" customHeight="1" x14ac:dyDescent="0.25">
      <c r="A233" s="55" t="s">
        <v>316</v>
      </c>
      <c r="B233" s="73"/>
      <c r="C233" s="181"/>
      <c r="D233" s="129"/>
      <c r="E233" s="134"/>
      <c r="F233" s="18">
        <f>SUM(F129,F139,F158,F169,F194,F213,F229)</f>
        <v>3043886</v>
      </c>
      <c r="G233" s="151">
        <f>SUM(G129,G139,G158,G169,G194,G213,G229)</f>
        <v>2637986</v>
      </c>
      <c r="H233" s="39">
        <f>G233/F233</f>
        <v>0.8666507221361115</v>
      </c>
      <c r="I233" s="134"/>
      <c r="J233" s="94"/>
      <c r="K233" s="16" t="s">
        <v>315</v>
      </c>
    </row>
    <row r="234" spans="1:11" s="30" customFormat="1" ht="11.45" customHeight="1" x14ac:dyDescent="0.25">
      <c r="A234" s="19" t="s">
        <v>332</v>
      </c>
      <c r="B234" s="74">
        <f>COUNT(B180,B189,B190,B210,B221)</f>
        <v>5</v>
      </c>
      <c r="C234" s="184">
        <f>COUNT(C190,C210,C221)</f>
        <v>3</v>
      </c>
      <c r="D234" s="118"/>
      <c r="E234" s="137"/>
      <c r="F234" s="25">
        <f>SUM(F180,F189,F190,F210,F221)</f>
        <v>93075</v>
      </c>
      <c r="G234" s="152">
        <f>SUM(G180,G189,G190,G210,G221)</f>
        <v>78301</v>
      </c>
      <c r="H234" s="162">
        <f>G234/F234</f>
        <v>0.84126779478914848</v>
      </c>
      <c r="I234" s="135">
        <f>SUM(I180,I189,I190,I210,I221)</f>
        <v>255</v>
      </c>
      <c r="J234" s="98">
        <f>SUM(J180,J189,J190,J210,J221)</f>
        <v>174</v>
      </c>
      <c r="K234" s="16" t="s">
        <v>323</v>
      </c>
    </row>
    <row r="235" spans="1:11" x14ac:dyDescent="0.2">
      <c r="F235" s="63"/>
      <c r="G235" s="144"/>
    </row>
    <row r="236" spans="1:11" x14ac:dyDescent="0.2">
      <c r="F236" s="63"/>
      <c r="G236" s="144"/>
    </row>
    <row r="237" spans="1:11" x14ac:dyDescent="0.2">
      <c r="A237" s="8" t="s">
        <v>94</v>
      </c>
      <c r="B237" s="62">
        <v>4</v>
      </c>
      <c r="C237" s="178">
        <v>13</v>
      </c>
      <c r="D237" s="112">
        <v>43646</v>
      </c>
      <c r="E237" s="132">
        <v>365</v>
      </c>
      <c r="F237" s="63">
        <v>43800</v>
      </c>
      <c r="G237" s="144">
        <v>27162</v>
      </c>
      <c r="H237" s="64">
        <v>0.62013698630136982</v>
      </c>
      <c r="I237" s="157">
        <v>120</v>
      </c>
      <c r="J237" s="89">
        <v>120</v>
      </c>
    </row>
    <row r="238" spans="1:11" x14ac:dyDescent="0.2">
      <c r="A238" s="8" t="s">
        <v>257</v>
      </c>
      <c r="B238" s="62">
        <v>4</v>
      </c>
      <c r="C238" s="178">
        <v>13</v>
      </c>
      <c r="D238" s="112">
        <v>43830</v>
      </c>
      <c r="E238" s="132">
        <v>365</v>
      </c>
      <c r="F238" s="63">
        <v>43800</v>
      </c>
      <c r="G238" s="144">
        <v>41455</v>
      </c>
      <c r="H238" s="64">
        <v>0.94646118721461192</v>
      </c>
      <c r="I238" s="157">
        <v>120</v>
      </c>
      <c r="J238" s="89">
        <v>120</v>
      </c>
    </row>
    <row r="239" spans="1:11" x14ac:dyDescent="0.2">
      <c r="A239" s="8" t="s">
        <v>102</v>
      </c>
      <c r="B239" s="62">
        <v>4</v>
      </c>
      <c r="C239" s="178">
        <v>13</v>
      </c>
      <c r="D239" s="112">
        <v>43830</v>
      </c>
      <c r="E239" s="132">
        <v>365</v>
      </c>
      <c r="F239" s="63">
        <v>28105</v>
      </c>
      <c r="G239" s="144">
        <v>25753</v>
      </c>
      <c r="H239" s="64">
        <v>0.91631382316313825</v>
      </c>
      <c r="I239" s="157">
        <v>77</v>
      </c>
      <c r="J239" s="89">
        <v>77</v>
      </c>
    </row>
    <row r="240" spans="1:11" x14ac:dyDescent="0.2">
      <c r="A240" s="8" t="s">
        <v>118</v>
      </c>
      <c r="B240" s="62">
        <v>4</v>
      </c>
      <c r="C240" s="178">
        <v>13</v>
      </c>
      <c r="D240" s="112">
        <v>43830</v>
      </c>
      <c r="E240" s="132">
        <v>365</v>
      </c>
      <c r="F240" s="63">
        <v>61320</v>
      </c>
      <c r="G240" s="144">
        <v>44251</v>
      </c>
      <c r="H240" s="64">
        <v>0.72164057403783433</v>
      </c>
      <c r="I240" s="157">
        <v>168</v>
      </c>
      <c r="J240" s="89">
        <v>168</v>
      </c>
    </row>
    <row r="241" spans="1:11" x14ac:dyDescent="0.2">
      <c r="A241" s="8" t="s">
        <v>119</v>
      </c>
      <c r="B241" s="62">
        <v>4</v>
      </c>
      <c r="C241" s="178">
        <v>13</v>
      </c>
      <c r="D241" s="112">
        <v>43830</v>
      </c>
      <c r="E241" s="132">
        <v>365</v>
      </c>
      <c r="F241" s="63">
        <v>78840</v>
      </c>
      <c r="G241" s="144">
        <v>75737</v>
      </c>
      <c r="H241" s="64">
        <v>0.96064180618975137</v>
      </c>
      <c r="I241" s="157">
        <v>216</v>
      </c>
      <c r="J241" s="89">
        <v>216</v>
      </c>
    </row>
    <row r="242" spans="1:11" x14ac:dyDescent="0.2">
      <c r="A242" s="8" t="s">
        <v>269</v>
      </c>
      <c r="B242" s="62">
        <v>4</v>
      </c>
      <c r="C242" s="178">
        <v>13</v>
      </c>
      <c r="D242" s="112">
        <v>43646</v>
      </c>
      <c r="E242" s="132">
        <v>365</v>
      </c>
      <c r="F242" s="70">
        <f>E242*I242</f>
        <v>51100</v>
      </c>
      <c r="G242" s="144">
        <v>36137</v>
      </c>
      <c r="H242" s="71">
        <f>G242/F242</f>
        <v>0.70718199608610566</v>
      </c>
      <c r="I242" s="165">
        <v>140</v>
      </c>
      <c r="J242" s="95">
        <v>140</v>
      </c>
      <c r="K242" s="32" t="s">
        <v>412</v>
      </c>
    </row>
    <row r="243" spans="1:11" s="12" customFormat="1" ht="11.45" customHeight="1" x14ac:dyDescent="0.25">
      <c r="A243" s="54" t="s">
        <v>373</v>
      </c>
      <c r="B243" s="72">
        <f>COUNTA(B237:B242)</f>
        <v>6</v>
      </c>
      <c r="C243" s="179"/>
      <c r="D243" s="126"/>
      <c r="E243" s="133"/>
      <c r="F243" s="29">
        <f>SUM(F237:F242)</f>
        <v>306965</v>
      </c>
      <c r="G243" s="147">
        <f>SUM(G237:G242)</f>
        <v>250495</v>
      </c>
      <c r="H243" s="161">
        <f>G243/F243</f>
        <v>0.81603765901650027</v>
      </c>
      <c r="I243" s="133">
        <f>SUM(I237:I242)</f>
        <v>841</v>
      </c>
      <c r="J243" s="90">
        <f>SUM(J237:J242)</f>
        <v>841</v>
      </c>
      <c r="K243" s="16" t="s">
        <v>323</v>
      </c>
    </row>
    <row r="244" spans="1:11" s="14" customFormat="1" ht="11.45" customHeight="1" x14ac:dyDescent="0.25">
      <c r="A244" s="55" t="s">
        <v>316</v>
      </c>
      <c r="B244" s="176"/>
      <c r="C244" s="180"/>
      <c r="D244" s="127"/>
      <c r="E244" s="130"/>
      <c r="F244" s="13">
        <f>SUM(F237:F242)</f>
        <v>306965</v>
      </c>
      <c r="G244" s="148">
        <f>SUM(G237:G242)</f>
        <v>250495</v>
      </c>
      <c r="H244" s="39">
        <f>G244/F244</f>
        <v>0.81603765901650027</v>
      </c>
      <c r="I244" s="130"/>
      <c r="J244" s="93"/>
      <c r="K244" s="16" t="s">
        <v>323</v>
      </c>
    </row>
    <row r="245" spans="1:11" s="12" customFormat="1" ht="11.45" customHeight="1" x14ac:dyDescent="0.25">
      <c r="A245" s="56"/>
      <c r="B245" s="73"/>
      <c r="C245" s="181"/>
      <c r="D245" s="128" t="s">
        <v>317</v>
      </c>
      <c r="E245" s="134"/>
      <c r="F245" s="29"/>
      <c r="G245" s="147"/>
      <c r="H245" s="39">
        <f>MEDIAN(H237:H242)</f>
        <v>0.81897719860048634</v>
      </c>
      <c r="I245" s="134"/>
      <c r="J245" s="94"/>
      <c r="K245" s="16" t="s">
        <v>329</v>
      </c>
    </row>
    <row r="246" spans="1:11" s="36" customFormat="1" ht="11.45" customHeight="1" x14ac:dyDescent="0.25">
      <c r="A246" s="33"/>
      <c r="B246" s="78"/>
      <c r="C246" s="185"/>
      <c r="D246" s="114"/>
      <c r="E246" s="138"/>
      <c r="F246" s="34"/>
      <c r="G246" s="154"/>
      <c r="H246" s="35"/>
      <c r="I246" s="170"/>
      <c r="J246" s="103"/>
      <c r="K246" s="51"/>
    </row>
    <row r="247" spans="1:11" x14ac:dyDescent="0.2">
      <c r="A247" s="8" t="s">
        <v>260</v>
      </c>
      <c r="B247" s="62">
        <v>4</v>
      </c>
      <c r="C247" s="178">
        <v>14</v>
      </c>
      <c r="D247" s="112">
        <v>43830</v>
      </c>
      <c r="E247" s="132">
        <v>365</v>
      </c>
      <c r="F247" s="63">
        <v>43800</v>
      </c>
      <c r="G247" s="144">
        <v>40022</v>
      </c>
      <c r="H247" s="64">
        <v>0.91374429223744291</v>
      </c>
      <c r="I247" s="157">
        <v>120</v>
      </c>
      <c r="J247" s="89">
        <v>120</v>
      </c>
    </row>
    <row r="248" spans="1:11" x14ac:dyDescent="0.2">
      <c r="A248" s="8" t="s">
        <v>105</v>
      </c>
      <c r="B248" s="62">
        <v>4</v>
      </c>
      <c r="C248" s="178">
        <v>14</v>
      </c>
      <c r="D248" s="112">
        <v>43830</v>
      </c>
      <c r="E248" s="132">
        <v>365</v>
      </c>
      <c r="F248" s="63">
        <v>65700</v>
      </c>
      <c r="G248" s="144">
        <v>54830</v>
      </c>
      <c r="H248" s="64">
        <v>0.83455098934550986</v>
      </c>
      <c r="I248" s="157">
        <v>180</v>
      </c>
      <c r="J248" s="89">
        <v>180</v>
      </c>
    </row>
    <row r="249" spans="1:11" x14ac:dyDescent="0.2">
      <c r="A249" s="8" t="s">
        <v>106</v>
      </c>
      <c r="B249" s="62">
        <v>4</v>
      </c>
      <c r="C249" s="178">
        <v>14</v>
      </c>
      <c r="D249" s="112">
        <v>43830</v>
      </c>
      <c r="E249" s="132">
        <v>365</v>
      </c>
      <c r="F249" s="63">
        <v>21900</v>
      </c>
      <c r="G249" s="144">
        <v>20934</v>
      </c>
      <c r="H249" s="64">
        <v>0.95589041095890415</v>
      </c>
      <c r="I249" s="157">
        <v>60</v>
      </c>
      <c r="J249" s="89">
        <v>60</v>
      </c>
    </row>
    <row r="250" spans="1:11" x14ac:dyDescent="0.2">
      <c r="A250" s="8" t="s">
        <v>120</v>
      </c>
      <c r="B250" s="62">
        <v>4</v>
      </c>
      <c r="C250" s="178">
        <v>14</v>
      </c>
      <c r="D250" s="112">
        <v>43830</v>
      </c>
      <c r="E250" s="132">
        <v>365</v>
      </c>
      <c r="F250" s="63">
        <v>43800</v>
      </c>
      <c r="G250" s="144">
        <v>40741</v>
      </c>
      <c r="H250" s="64">
        <v>0.93015981735159814</v>
      </c>
      <c r="I250" s="157">
        <v>120</v>
      </c>
      <c r="J250" s="89">
        <v>54</v>
      </c>
      <c r="K250" s="15" t="s">
        <v>411</v>
      </c>
    </row>
    <row r="251" spans="1:11" x14ac:dyDescent="0.2">
      <c r="A251" s="8" t="s">
        <v>271</v>
      </c>
      <c r="B251" s="62">
        <v>4</v>
      </c>
      <c r="C251" s="178">
        <v>14</v>
      </c>
      <c r="D251" s="112">
        <v>43738</v>
      </c>
      <c r="E251" s="132">
        <v>365</v>
      </c>
      <c r="F251" s="63">
        <v>32850</v>
      </c>
      <c r="G251" s="144">
        <v>17723</v>
      </c>
      <c r="H251" s="64">
        <v>0.53951293759512942</v>
      </c>
      <c r="I251" s="157">
        <v>90</v>
      </c>
      <c r="J251" s="89">
        <v>90</v>
      </c>
    </row>
    <row r="252" spans="1:11" x14ac:dyDescent="0.2">
      <c r="A252" s="8" t="s">
        <v>123</v>
      </c>
      <c r="B252" s="62">
        <v>4</v>
      </c>
      <c r="C252" s="178">
        <v>14</v>
      </c>
      <c r="D252" s="112">
        <v>43830</v>
      </c>
      <c r="E252" s="132">
        <v>278</v>
      </c>
      <c r="F252" s="63">
        <v>27800</v>
      </c>
      <c r="G252" s="144">
        <v>26085</v>
      </c>
      <c r="H252" s="64">
        <v>0.93830935251798564</v>
      </c>
      <c r="I252" s="157">
        <v>100</v>
      </c>
      <c r="J252" s="89">
        <v>100</v>
      </c>
      <c r="K252" s="15" t="s">
        <v>375</v>
      </c>
    </row>
    <row r="253" spans="1:11" s="12" customFormat="1" ht="11.45" customHeight="1" x14ac:dyDescent="0.25">
      <c r="A253" s="54" t="s">
        <v>374</v>
      </c>
      <c r="B253" s="72">
        <f>COUNTA(B247:B252)</f>
        <v>6</v>
      </c>
      <c r="C253" s="179"/>
      <c r="D253" s="126"/>
      <c r="E253" s="133"/>
      <c r="F253" s="29">
        <f>SUM(F247:F252)</f>
        <v>235850</v>
      </c>
      <c r="G253" s="147">
        <f>SUM(G247:G252)</f>
        <v>200335</v>
      </c>
      <c r="H253" s="161">
        <f>G253/F253</f>
        <v>0.84941700233199069</v>
      </c>
      <c r="I253" s="133">
        <f>SUM(I247:I252)</f>
        <v>670</v>
      </c>
      <c r="J253" s="90">
        <f>SUM(J247:J252)</f>
        <v>604</v>
      </c>
      <c r="K253" s="16" t="s">
        <v>315</v>
      </c>
    </row>
    <row r="254" spans="1:11" s="14" customFormat="1" ht="11.45" customHeight="1" x14ac:dyDescent="0.25">
      <c r="A254" s="55" t="s">
        <v>316</v>
      </c>
      <c r="B254" s="176"/>
      <c r="C254" s="180"/>
      <c r="D254" s="127"/>
      <c r="E254" s="130"/>
      <c r="F254" s="13">
        <f>SUM(F247:F252)</f>
        <v>235850</v>
      </c>
      <c r="G254" s="148">
        <f>SUM(G247:G252)</f>
        <v>200335</v>
      </c>
      <c r="H254" s="39">
        <f>G254/F254</f>
        <v>0.84941700233199069</v>
      </c>
      <c r="I254" s="130"/>
      <c r="J254" s="93"/>
      <c r="K254" s="16" t="s">
        <v>315</v>
      </c>
    </row>
    <row r="255" spans="1:11" s="12" customFormat="1" ht="11.45" customHeight="1" x14ac:dyDescent="0.25">
      <c r="A255" s="56"/>
      <c r="B255" s="73"/>
      <c r="C255" s="181"/>
      <c r="D255" s="128" t="s">
        <v>317</v>
      </c>
      <c r="E255" s="134"/>
      <c r="F255" s="29"/>
      <c r="G255" s="147"/>
      <c r="H255" s="39">
        <f>MEDIAN(H247:H252)</f>
        <v>0.92195205479452058</v>
      </c>
      <c r="I255" s="134"/>
      <c r="J255" s="94"/>
      <c r="K255" s="16" t="s">
        <v>326</v>
      </c>
    </row>
    <row r="257" spans="1:11" x14ac:dyDescent="0.2">
      <c r="A257" s="8" t="s">
        <v>253</v>
      </c>
      <c r="B257" s="62">
        <v>4</v>
      </c>
      <c r="C257" s="178">
        <v>15</v>
      </c>
      <c r="D257" s="112">
        <v>43830</v>
      </c>
      <c r="E257" s="132">
        <v>365</v>
      </c>
      <c r="F257" s="63">
        <v>69350</v>
      </c>
      <c r="G257" s="144">
        <v>60809</v>
      </c>
      <c r="H257" s="64">
        <v>0.87684210526315787</v>
      </c>
      <c r="I257" s="157">
        <v>190</v>
      </c>
      <c r="J257" s="89">
        <v>190</v>
      </c>
    </row>
    <row r="258" spans="1:11" x14ac:dyDescent="0.2">
      <c r="A258" s="8" t="s">
        <v>93</v>
      </c>
      <c r="B258" s="62">
        <v>4</v>
      </c>
      <c r="C258" s="178">
        <v>15</v>
      </c>
      <c r="D258" s="112">
        <v>43830</v>
      </c>
      <c r="E258" s="132">
        <v>365</v>
      </c>
      <c r="F258" s="63">
        <v>61685</v>
      </c>
      <c r="G258" s="144">
        <v>55188</v>
      </c>
      <c r="H258" s="64">
        <v>0.89467455621301772</v>
      </c>
      <c r="I258" s="157">
        <v>169</v>
      </c>
      <c r="J258" s="89">
        <v>169</v>
      </c>
    </row>
    <row r="259" spans="1:11" x14ac:dyDescent="0.2">
      <c r="A259" s="8" t="s">
        <v>255</v>
      </c>
      <c r="B259" s="62">
        <v>4</v>
      </c>
      <c r="C259" s="178">
        <v>15</v>
      </c>
      <c r="D259" s="112">
        <v>43830</v>
      </c>
      <c r="E259" s="132">
        <v>365</v>
      </c>
      <c r="F259" s="63">
        <v>43800</v>
      </c>
      <c r="G259" s="144">
        <v>39250</v>
      </c>
      <c r="H259" s="64">
        <v>0.89611872146118721</v>
      </c>
      <c r="I259" s="157">
        <v>120</v>
      </c>
      <c r="J259" s="89">
        <v>120</v>
      </c>
    </row>
    <row r="260" spans="1:11" x14ac:dyDescent="0.2">
      <c r="A260" s="8" t="s">
        <v>95</v>
      </c>
      <c r="B260" s="62">
        <v>4</v>
      </c>
      <c r="C260" s="178">
        <v>15</v>
      </c>
      <c r="D260" s="112">
        <v>43738</v>
      </c>
      <c r="E260" s="132">
        <v>365</v>
      </c>
      <c r="F260" s="63">
        <v>36865</v>
      </c>
      <c r="G260" s="144">
        <v>34648</v>
      </c>
      <c r="H260" s="64">
        <v>0.9398616573986166</v>
      </c>
      <c r="I260" s="157">
        <v>101</v>
      </c>
      <c r="J260" s="89">
        <v>56</v>
      </c>
    </row>
    <row r="261" spans="1:11" x14ac:dyDescent="0.2">
      <c r="A261" s="8" t="s">
        <v>343</v>
      </c>
      <c r="B261" s="62">
        <v>4</v>
      </c>
      <c r="C261" s="178">
        <v>15</v>
      </c>
      <c r="D261" s="112">
        <v>43830</v>
      </c>
      <c r="E261" s="132">
        <v>365</v>
      </c>
      <c r="F261" s="63">
        <v>71540</v>
      </c>
      <c r="G261" s="144">
        <v>52814</v>
      </c>
      <c r="H261" s="64">
        <v>0.73824433883142293</v>
      </c>
      <c r="I261" s="157">
        <v>196</v>
      </c>
      <c r="J261" s="89">
        <v>150</v>
      </c>
    </row>
    <row r="262" spans="1:11" x14ac:dyDescent="0.2">
      <c r="A262" s="8" t="s">
        <v>256</v>
      </c>
      <c r="B262" s="62">
        <v>4</v>
      </c>
      <c r="C262" s="178">
        <v>15</v>
      </c>
      <c r="D262" s="112">
        <v>43646</v>
      </c>
      <c r="E262" s="132">
        <v>365</v>
      </c>
      <c r="F262" s="63">
        <v>21900</v>
      </c>
      <c r="G262" s="144">
        <v>19814</v>
      </c>
      <c r="H262" s="64">
        <v>0.90474885844748854</v>
      </c>
      <c r="I262" s="157">
        <v>60</v>
      </c>
      <c r="J262" s="89">
        <v>21</v>
      </c>
      <c r="K262" s="15" t="s">
        <v>345</v>
      </c>
    </row>
    <row r="263" spans="1:11" x14ac:dyDescent="0.2">
      <c r="A263" s="8" t="s">
        <v>96</v>
      </c>
      <c r="B263" s="62">
        <v>4</v>
      </c>
      <c r="C263" s="178">
        <v>15</v>
      </c>
      <c r="D263" s="112">
        <v>43616</v>
      </c>
      <c r="E263" s="132">
        <v>365</v>
      </c>
      <c r="F263" s="68">
        <v>21900</v>
      </c>
      <c r="G263" s="146">
        <v>19885</v>
      </c>
      <c r="H263" s="69">
        <v>0.90799086757990866</v>
      </c>
      <c r="I263" s="157">
        <v>60</v>
      </c>
      <c r="J263" s="89">
        <v>0</v>
      </c>
      <c r="K263" s="15" t="s">
        <v>320</v>
      </c>
    </row>
    <row r="264" spans="1:11" x14ac:dyDescent="0.2">
      <c r="A264" s="8" t="s">
        <v>97</v>
      </c>
      <c r="B264" s="62">
        <v>4</v>
      </c>
      <c r="C264" s="178">
        <v>15</v>
      </c>
      <c r="D264" s="112">
        <v>43646</v>
      </c>
      <c r="E264" s="132">
        <v>365</v>
      </c>
      <c r="F264" s="63">
        <v>17155</v>
      </c>
      <c r="G264" s="144">
        <v>11570</v>
      </c>
      <c r="H264" s="64">
        <v>0.67443893908481489</v>
      </c>
      <c r="I264" s="157">
        <v>47</v>
      </c>
      <c r="J264" s="89">
        <v>47</v>
      </c>
    </row>
    <row r="265" spans="1:11" x14ac:dyDescent="0.2">
      <c r="A265" s="8" t="s">
        <v>98</v>
      </c>
      <c r="B265" s="62">
        <v>4</v>
      </c>
      <c r="C265" s="178">
        <v>15</v>
      </c>
      <c r="D265" s="112">
        <v>43555</v>
      </c>
      <c r="E265" s="132">
        <v>365</v>
      </c>
      <c r="F265" s="80">
        <f>50*(365-15-31-28-31)+53*(15+31+28+31)</f>
        <v>18565</v>
      </c>
      <c r="G265" s="155">
        <v>13993</v>
      </c>
      <c r="H265" s="81">
        <f>G265/F265</f>
        <v>0.75373013735523831</v>
      </c>
      <c r="I265" s="165">
        <v>53</v>
      </c>
      <c r="J265" s="95">
        <v>0</v>
      </c>
      <c r="K265" s="32" t="s">
        <v>378</v>
      </c>
    </row>
    <row r="266" spans="1:11" x14ac:dyDescent="0.2">
      <c r="A266" s="8" t="s">
        <v>99</v>
      </c>
      <c r="B266" s="62">
        <v>4</v>
      </c>
      <c r="C266" s="178">
        <v>15</v>
      </c>
      <c r="D266" s="112">
        <v>43830</v>
      </c>
      <c r="E266" s="132">
        <v>365</v>
      </c>
      <c r="F266" s="63">
        <v>65700</v>
      </c>
      <c r="G266" s="144">
        <v>60011</v>
      </c>
      <c r="H266" s="64">
        <v>0.91340943683409437</v>
      </c>
      <c r="I266" s="157">
        <v>180</v>
      </c>
      <c r="J266" s="89">
        <v>180</v>
      </c>
    </row>
    <row r="267" spans="1:11" x14ac:dyDescent="0.2">
      <c r="A267" s="8" t="s">
        <v>101</v>
      </c>
      <c r="B267" s="62">
        <v>4</v>
      </c>
      <c r="C267" s="178">
        <v>15</v>
      </c>
      <c r="D267" s="112">
        <v>43830</v>
      </c>
      <c r="E267" s="132">
        <v>365</v>
      </c>
      <c r="F267" s="63">
        <v>30660</v>
      </c>
      <c r="G267" s="144">
        <v>28055</v>
      </c>
      <c r="H267" s="64">
        <v>0.91503587736464453</v>
      </c>
      <c r="I267" s="157">
        <v>84</v>
      </c>
      <c r="J267" s="89">
        <v>84</v>
      </c>
    </row>
    <row r="268" spans="1:11" x14ac:dyDescent="0.2">
      <c r="A268" s="8" t="s">
        <v>103</v>
      </c>
      <c r="B268" s="62">
        <v>4</v>
      </c>
      <c r="C268" s="178">
        <v>15</v>
      </c>
      <c r="D268" s="112">
        <v>43830</v>
      </c>
      <c r="E268" s="132">
        <v>365</v>
      </c>
      <c r="F268" s="70">
        <f>E268*I268</f>
        <v>63510</v>
      </c>
      <c r="G268" s="150">
        <v>54580</v>
      </c>
      <c r="H268" s="71">
        <f>G268/F268</f>
        <v>0.85939222169737051</v>
      </c>
      <c r="I268" s="165">
        <v>174</v>
      </c>
      <c r="J268" s="95">
        <v>174</v>
      </c>
      <c r="K268" s="32" t="s">
        <v>391</v>
      </c>
    </row>
    <row r="269" spans="1:11" x14ac:dyDescent="0.2">
      <c r="A269" s="8" t="s">
        <v>261</v>
      </c>
      <c r="B269" s="62">
        <v>4</v>
      </c>
      <c r="C269" s="178">
        <v>15</v>
      </c>
      <c r="D269" s="112">
        <v>43830</v>
      </c>
      <c r="E269" s="132">
        <v>365</v>
      </c>
      <c r="F269" s="63">
        <v>45625</v>
      </c>
      <c r="G269" s="144">
        <v>33424</v>
      </c>
      <c r="H269" s="64">
        <v>0.73258082191780827</v>
      </c>
      <c r="I269" s="157">
        <v>125</v>
      </c>
      <c r="J269" s="89">
        <v>125</v>
      </c>
    </row>
    <row r="270" spans="1:11" x14ac:dyDescent="0.2">
      <c r="A270" s="8" t="s">
        <v>262</v>
      </c>
      <c r="B270" s="62">
        <v>4</v>
      </c>
      <c r="C270" s="178">
        <v>15</v>
      </c>
      <c r="D270" s="112">
        <v>43830</v>
      </c>
      <c r="E270" s="132">
        <v>365</v>
      </c>
      <c r="F270" s="63">
        <v>43800</v>
      </c>
      <c r="G270" s="144">
        <v>39429</v>
      </c>
      <c r="H270" s="64">
        <v>0.90020547945205476</v>
      </c>
      <c r="I270" s="157">
        <v>120</v>
      </c>
      <c r="J270" s="89">
        <v>120</v>
      </c>
    </row>
    <row r="271" spans="1:11" x14ac:dyDescent="0.2">
      <c r="A271" s="8" t="s">
        <v>263</v>
      </c>
      <c r="B271" s="62">
        <v>4</v>
      </c>
      <c r="C271" s="178">
        <v>15</v>
      </c>
      <c r="D271" s="112">
        <v>43830</v>
      </c>
      <c r="E271" s="132">
        <v>365</v>
      </c>
      <c r="F271" s="63">
        <v>43800</v>
      </c>
      <c r="G271" s="144">
        <v>40408</v>
      </c>
      <c r="H271" s="64">
        <v>0.92255707762557082</v>
      </c>
      <c r="I271" s="157">
        <v>120</v>
      </c>
      <c r="J271" s="89">
        <v>120</v>
      </c>
    </row>
    <row r="272" spans="1:11" x14ac:dyDescent="0.2">
      <c r="A272" s="8" t="s">
        <v>107</v>
      </c>
      <c r="B272" s="62">
        <v>4</v>
      </c>
      <c r="C272" s="178">
        <v>15</v>
      </c>
      <c r="D272" s="112">
        <v>43616</v>
      </c>
      <c r="E272" s="132">
        <v>365</v>
      </c>
      <c r="F272" s="68">
        <v>37960</v>
      </c>
      <c r="G272" s="146">
        <v>21673</v>
      </c>
      <c r="H272" s="69">
        <v>0.57094309799789256</v>
      </c>
      <c r="I272" s="157">
        <v>104</v>
      </c>
      <c r="J272" s="89">
        <v>0</v>
      </c>
      <c r="K272" s="15" t="s">
        <v>320</v>
      </c>
    </row>
    <row r="273" spans="1:11" x14ac:dyDescent="0.2">
      <c r="A273" s="8" t="s">
        <v>108</v>
      </c>
      <c r="B273" s="62">
        <v>4</v>
      </c>
      <c r="C273" s="178">
        <v>15</v>
      </c>
      <c r="D273" s="112">
        <v>43830</v>
      </c>
      <c r="E273" s="132">
        <v>365</v>
      </c>
      <c r="F273" s="68">
        <v>35040</v>
      </c>
      <c r="G273" s="146">
        <v>32089</v>
      </c>
      <c r="H273" s="69">
        <v>0.91578196347031959</v>
      </c>
      <c r="I273" s="157">
        <v>96</v>
      </c>
      <c r="J273" s="89">
        <v>0</v>
      </c>
      <c r="K273" s="15" t="s">
        <v>320</v>
      </c>
    </row>
    <row r="274" spans="1:11" x14ac:dyDescent="0.2">
      <c r="A274" s="8" t="s">
        <v>109</v>
      </c>
      <c r="B274" s="62">
        <v>4</v>
      </c>
      <c r="C274" s="178">
        <v>15</v>
      </c>
      <c r="D274" s="112">
        <v>43830</v>
      </c>
      <c r="E274" s="132">
        <v>365</v>
      </c>
      <c r="F274" s="63">
        <v>45260</v>
      </c>
      <c r="G274" s="144">
        <v>41503</v>
      </c>
      <c r="H274" s="64">
        <v>0.91699072028281048</v>
      </c>
      <c r="I274" s="157">
        <v>124</v>
      </c>
      <c r="J274" s="89">
        <v>124</v>
      </c>
    </row>
    <row r="275" spans="1:11" x14ac:dyDescent="0.2">
      <c r="A275" s="8" t="s">
        <v>110</v>
      </c>
      <c r="B275" s="62">
        <v>4</v>
      </c>
      <c r="C275" s="178">
        <v>15</v>
      </c>
      <c r="D275" s="112">
        <v>43830</v>
      </c>
      <c r="E275" s="132">
        <v>365</v>
      </c>
      <c r="F275" s="63">
        <v>52925</v>
      </c>
      <c r="G275" s="144">
        <v>50219</v>
      </c>
      <c r="H275" s="64">
        <v>0.9488710439300897</v>
      </c>
      <c r="I275" s="157">
        <v>145</v>
      </c>
      <c r="J275" s="89">
        <v>145</v>
      </c>
    </row>
    <row r="276" spans="1:11" x14ac:dyDescent="0.2">
      <c r="A276" s="8" t="s">
        <v>111</v>
      </c>
      <c r="B276" s="62">
        <v>4</v>
      </c>
      <c r="C276" s="178">
        <v>15</v>
      </c>
      <c r="D276" s="112">
        <v>43830</v>
      </c>
      <c r="E276" s="132">
        <v>365</v>
      </c>
      <c r="F276" s="63">
        <v>43800</v>
      </c>
      <c r="G276" s="144">
        <v>41279</v>
      </c>
      <c r="H276" s="64">
        <v>0.94244292237442917</v>
      </c>
      <c r="I276" s="157">
        <v>120</v>
      </c>
      <c r="J276" s="89">
        <v>120</v>
      </c>
    </row>
    <row r="277" spans="1:11" x14ac:dyDescent="0.2">
      <c r="A277" s="8" t="s">
        <v>180</v>
      </c>
      <c r="B277" s="62">
        <v>4</v>
      </c>
      <c r="C277" s="178">
        <v>15</v>
      </c>
      <c r="D277" s="112">
        <v>43769</v>
      </c>
      <c r="E277" s="132">
        <v>365</v>
      </c>
      <c r="F277" s="63">
        <v>69350</v>
      </c>
      <c r="G277" s="144">
        <v>60914</v>
      </c>
      <c r="H277" s="64">
        <v>0.87835616438356168</v>
      </c>
      <c r="I277" s="157">
        <v>190</v>
      </c>
      <c r="J277" s="89">
        <v>174</v>
      </c>
      <c r="K277" s="15" t="s">
        <v>413</v>
      </c>
    </row>
    <row r="278" spans="1:11" x14ac:dyDescent="0.2">
      <c r="A278" s="8" t="s">
        <v>112</v>
      </c>
      <c r="B278" s="62">
        <v>4</v>
      </c>
      <c r="C278" s="178">
        <v>15</v>
      </c>
      <c r="D278" s="112">
        <v>43830</v>
      </c>
      <c r="E278" s="132">
        <v>365</v>
      </c>
      <c r="F278" s="63">
        <v>11680</v>
      </c>
      <c r="G278" s="144">
        <v>11274</v>
      </c>
      <c r="H278" s="64">
        <v>0.96523972602739727</v>
      </c>
      <c r="I278" s="157">
        <v>32</v>
      </c>
      <c r="J278" s="89">
        <v>32</v>
      </c>
    </row>
    <row r="279" spans="1:11" x14ac:dyDescent="0.2">
      <c r="A279" s="8" t="s">
        <v>113</v>
      </c>
      <c r="B279" s="62">
        <v>4</v>
      </c>
      <c r="C279" s="178">
        <v>15</v>
      </c>
      <c r="D279" s="112">
        <v>43646</v>
      </c>
      <c r="E279" s="132">
        <v>365</v>
      </c>
      <c r="F279" s="63">
        <v>78840</v>
      </c>
      <c r="G279" s="144">
        <v>74227</v>
      </c>
      <c r="H279" s="64">
        <v>0.9414890918315576</v>
      </c>
      <c r="I279" s="157">
        <v>216</v>
      </c>
      <c r="J279" s="89">
        <v>216</v>
      </c>
    </row>
    <row r="280" spans="1:11" x14ac:dyDescent="0.2">
      <c r="A280" s="8" t="s">
        <v>114</v>
      </c>
      <c r="B280" s="62">
        <v>4</v>
      </c>
      <c r="C280" s="178">
        <v>15</v>
      </c>
      <c r="D280" s="112">
        <v>43830</v>
      </c>
      <c r="E280" s="132">
        <v>365</v>
      </c>
      <c r="F280" s="63">
        <v>46720</v>
      </c>
      <c r="G280" s="144">
        <v>36334</v>
      </c>
      <c r="H280" s="64">
        <v>0.77769691780821915</v>
      </c>
      <c r="I280" s="157">
        <v>128</v>
      </c>
      <c r="J280" s="89">
        <v>128</v>
      </c>
    </row>
    <row r="281" spans="1:11" x14ac:dyDescent="0.2">
      <c r="A281" s="8" t="s">
        <v>115</v>
      </c>
      <c r="B281" s="62">
        <v>4</v>
      </c>
      <c r="C281" s="178">
        <v>15</v>
      </c>
      <c r="D281" s="112">
        <v>43830</v>
      </c>
      <c r="E281" s="132">
        <v>365</v>
      </c>
      <c r="F281" s="63">
        <v>70810</v>
      </c>
      <c r="G281" s="144">
        <v>66958</v>
      </c>
      <c r="H281" s="64">
        <v>0.94560090382714301</v>
      </c>
      <c r="I281" s="157">
        <v>194</v>
      </c>
      <c r="J281" s="89">
        <v>194</v>
      </c>
    </row>
    <row r="282" spans="1:11" x14ac:dyDescent="0.2">
      <c r="A282" s="8" t="s">
        <v>116</v>
      </c>
      <c r="B282" s="62">
        <v>4</v>
      </c>
      <c r="C282" s="178">
        <v>15</v>
      </c>
      <c r="D282" s="112">
        <v>43830</v>
      </c>
      <c r="E282" s="132">
        <v>365</v>
      </c>
      <c r="F282" s="68">
        <v>24455</v>
      </c>
      <c r="G282" s="146">
        <v>8349</v>
      </c>
      <c r="H282" s="69">
        <v>0.3414025761602944</v>
      </c>
      <c r="I282" s="157">
        <v>67</v>
      </c>
      <c r="J282" s="89">
        <v>0</v>
      </c>
      <c r="K282" s="15" t="s">
        <v>320</v>
      </c>
    </row>
    <row r="283" spans="1:11" x14ac:dyDescent="0.2">
      <c r="A283" s="8" t="s">
        <v>265</v>
      </c>
      <c r="B283" s="62">
        <v>4</v>
      </c>
      <c r="C283" s="178">
        <v>15</v>
      </c>
      <c r="D283" s="112">
        <v>43646</v>
      </c>
      <c r="E283" s="132">
        <v>365</v>
      </c>
      <c r="F283" s="70">
        <f>75*67+60*(365-67)</f>
        <v>22905</v>
      </c>
      <c r="G283" s="150">
        <v>20091</v>
      </c>
      <c r="H283" s="71">
        <f>G283/F283</f>
        <v>0.87714472822527834</v>
      </c>
      <c r="I283" s="165">
        <v>75</v>
      </c>
      <c r="J283" s="95">
        <v>31</v>
      </c>
      <c r="K283" s="32" t="s">
        <v>377</v>
      </c>
    </row>
    <row r="284" spans="1:11" x14ac:dyDescent="0.2">
      <c r="A284" s="8" t="s">
        <v>266</v>
      </c>
      <c r="B284" s="62">
        <v>4</v>
      </c>
      <c r="C284" s="178">
        <v>15</v>
      </c>
      <c r="D284" s="112">
        <v>43830</v>
      </c>
      <c r="E284" s="132">
        <v>365</v>
      </c>
      <c r="F284" s="63">
        <v>65700</v>
      </c>
      <c r="G284" s="144">
        <v>61339</v>
      </c>
      <c r="H284" s="64">
        <v>0.93362252663622525</v>
      </c>
      <c r="I284" s="157">
        <v>180</v>
      </c>
      <c r="J284" s="89">
        <v>180</v>
      </c>
    </row>
    <row r="285" spans="1:11" x14ac:dyDescent="0.2">
      <c r="A285" s="23" t="s">
        <v>268</v>
      </c>
      <c r="B285" s="82">
        <v>4</v>
      </c>
      <c r="C285" s="187">
        <v>15</v>
      </c>
      <c r="D285" s="116">
        <v>43646</v>
      </c>
      <c r="E285" s="140">
        <v>365</v>
      </c>
      <c r="F285" s="66">
        <v>73000</v>
      </c>
      <c r="G285" s="145">
        <v>70211</v>
      </c>
      <c r="H285" s="67">
        <v>0.96179452054794523</v>
      </c>
      <c r="I285" s="168">
        <v>200</v>
      </c>
      <c r="J285" s="101">
        <v>200</v>
      </c>
      <c r="K285" s="15" t="s">
        <v>344</v>
      </c>
    </row>
    <row r="286" spans="1:11" x14ac:dyDescent="0.2">
      <c r="A286" s="8" t="s">
        <v>121</v>
      </c>
      <c r="B286" s="62">
        <v>4</v>
      </c>
      <c r="C286" s="178">
        <v>15</v>
      </c>
      <c r="D286" s="112">
        <v>43830</v>
      </c>
      <c r="E286" s="132">
        <v>365</v>
      </c>
      <c r="F286" s="63">
        <v>32850</v>
      </c>
      <c r="G286" s="144">
        <v>29256</v>
      </c>
      <c r="H286" s="64">
        <v>0.89059360730593606</v>
      </c>
      <c r="I286" s="157">
        <v>90</v>
      </c>
      <c r="J286" s="89">
        <v>90</v>
      </c>
    </row>
    <row r="287" spans="1:11" x14ac:dyDescent="0.2">
      <c r="A287" s="8" t="s">
        <v>122</v>
      </c>
      <c r="B287" s="62">
        <v>4</v>
      </c>
      <c r="C287" s="178">
        <v>15</v>
      </c>
      <c r="D287" s="112">
        <v>43830</v>
      </c>
      <c r="E287" s="132">
        <v>365</v>
      </c>
      <c r="F287" s="63">
        <v>47450</v>
      </c>
      <c r="G287" s="144">
        <v>47406</v>
      </c>
      <c r="H287" s="64">
        <v>0.999072708113804</v>
      </c>
      <c r="I287" s="157">
        <v>130</v>
      </c>
      <c r="J287" s="89">
        <v>130</v>
      </c>
    </row>
    <row r="288" spans="1:11" x14ac:dyDescent="0.2">
      <c r="A288" s="8" t="s">
        <v>124</v>
      </c>
      <c r="B288" s="62">
        <v>4</v>
      </c>
      <c r="C288" s="178">
        <v>15</v>
      </c>
      <c r="D288" s="112">
        <v>43738</v>
      </c>
      <c r="E288" s="132">
        <v>365</v>
      </c>
      <c r="F288" s="68">
        <v>57670</v>
      </c>
      <c r="G288" s="146">
        <v>51795</v>
      </c>
      <c r="H288" s="69">
        <v>0.89812727588000696</v>
      </c>
      <c r="I288" s="157">
        <v>158</v>
      </c>
      <c r="J288" s="89">
        <v>133</v>
      </c>
      <c r="K288" s="15" t="s">
        <v>320</v>
      </c>
    </row>
    <row r="289" spans="1:11" x14ac:dyDescent="0.2">
      <c r="A289" s="8" t="s">
        <v>272</v>
      </c>
      <c r="B289" s="62">
        <v>4</v>
      </c>
      <c r="C289" s="178">
        <v>15</v>
      </c>
      <c r="D289" s="112">
        <v>43830</v>
      </c>
      <c r="E289" s="132">
        <v>365</v>
      </c>
      <c r="F289" s="63">
        <v>82125</v>
      </c>
      <c r="G289" s="144">
        <v>58880</v>
      </c>
      <c r="H289" s="64">
        <v>0.71695585996955857</v>
      </c>
      <c r="I289" s="157">
        <v>225</v>
      </c>
      <c r="J289" s="89">
        <v>125</v>
      </c>
    </row>
    <row r="290" spans="1:11" s="12" customFormat="1" ht="11.45" customHeight="1" x14ac:dyDescent="0.25">
      <c r="A290" s="54" t="s">
        <v>342</v>
      </c>
      <c r="B290" s="72">
        <f>COUNTA(B257:B289)-1</f>
        <v>32</v>
      </c>
      <c r="C290" s="179"/>
      <c r="D290" s="126"/>
      <c r="E290" s="133"/>
      <c r="F290" s="29">
        <f>SUM(F257:F289)-F285</f>
        <v>1481395</v>
      </c>
      <c r="G290" s="147">
        <f>SUM(G257:G289)-G285</f>
        <v>1277464</v>
      </c>
      <c r="H290" s="161">
        <f>G290/F290</f>
        <v>0.8623385390122148</v>
      </c>
      <c r="I290" s="133">
        <f>SUM(I257:I289)-I285</f>
        <v>4073</v>
      </c>
      <c r="J290" s="90">
        <f>SUM(J257:J289)-J285</f>
        <v>3378</v>
      </c>
      <c r="K290" s="16" t="s">
        <v>323</v>
      </c>
    </row>
    <row r="291" spans="1:11" s="14" customFormat="1" ht="11.45" customHeight="1" x14ac:dyDescent="0.25">
      <c r="A291" s="55" t="s">
        <v>316</v>
      </c>
      <c r="B291" s="176"/>
      <c r="C291" s="180"/>
      <c r="D291" s="127"/>
      <c r="E291" s="130"/>
      <c r="F291" s="13">
        <f>SUM(F257:F262,F264,F266:F271,F274:F281,F283:F284,F286:F287,F289)</f>
        <v>1285805</v>
      </c>
      <c r="G291" s="148">
        <f>SUM(G257:G262,G264,G266:G271,G274:G281,G283:G284,G286:G287,G289)</f>
        <v>1129680</v>
      </c>
      <c r="H291" s="39">
        <f>G291/F291</f>
        <v>0.8785780114403039</v>
      </c>
      <c r="I291" s="130"/>
      <c r="J291" s="93"/>
      <c r="K291" s="16" t="s">
        <v>323</v>
      </c>
    </row>
    <row r="292" spans="1:11" s="12" customFormat="1" ht="11.45" customHeight="1" x14ac:dyDescent="0.25">
      <c r="A292" s="56"/>
      <c r="B292" s="73"/>
      <c r="C292" s="181"/>
      <c r="D292" s="128" t="s">
        <v>317</v>
      </c>
      <c r="E292" s="134"/>
      <c r="F292" s="29"/>
      <c r="G292" s="147"/>
      <c r="H292" s="39">
        <f>MEDIAN(H257:H262,H264,H266:H271,H274:H281,H283:H284,H286:H287,H289)</f>
        <v>0.9024771689497717</v>
      </c>
      <c r="I292" s="134"/>
      <c r="J292" s="94"/>
      <c r="K292" s="16" t="s">
        <v>329</v>
      </c>
    </row>
    <row r="293" spans="1:11" s="26" customFormat="1" ht="12" customHeight="1" x14ac:dyDescent="0.2">
      <c r="B293" s="83"/>
      <c r="C293" s="188"/>
      <c r="D293" s="117"/>
      <c r="E293" s="141"/>
      <c r="F293" s="27"/>
      <c r="G293" s="156"/>
      <c r="H293" s="28"/>
      <c r="I293" s="169"/>
      <c r="J293" s="102"/>
      <c r="K293" s="50"/>
    </row>
    <row r="294" spans="1:11" x14ac:dyDescent="0.2">
      <c r="A294" s="8" t="s">
        <v>92</v>
      </c>
      <c r="B294" s="62">
        <v>4</v>
      </c>
      <c r="C294" s="178">
        <v>19</v>
      </c>
      <c r="D294" s="112">
        <v>43830</v>
      </c>
      <c r="E294" s="132">
        <v>61</v>
      </c>
      <c r="F294" s="63">
        <v>7320</v>
      </c>
      <c r="G294" s="144">
        <v>5898</v>
      </c>
      <c r="H294" s="64">
        <v>0.80573770491803276</v>
      </c>
      <c r="I294" s="157">
        <v>120</v>
      </c>
      <c r="J294" s="89">
        <v>120</v>
      </c>
      <c r="K294" s="15" t="s">
        <v>354</v>
      </c>
    </row>
    <row r="295" spans="1:11" x14ac:dyDescent="0.2">
      <c r="A295" s="8" t="s">
        <v>254</v>
      </c>
      <c r="B295" s="62">
        <v>4</v>
      </c>
      <c r="C295" s="178">
        <v>19</v>
      </c>
      <c r="D295" s="112">
        <v>43830</v>
      </c>
      <c r="E295" s="132">
        <v>365</v>
      </c>
      <c r="F295" s="63">
        <v>43800</v>
      </c>
      <c r="G295" s="144">
        <v>40714</v>
      </c>
      <c r="H295" s="64">
        <v>0.92954337899543382</v>
      </c>
      <c r="I295" s="157">
        <v>120</v>
      </c>
      <c r="J295" s="89">
        <v>120</v>
      </c>
    </row>
    <row r="296" spans="1:11" x14ac:dyDescent="0.2">
      <c r="A296" s="8" t="s">
        <v>258</v>
      </c>
      <c r="B296" s="62">
        <v>4</v>
      </c>
      <c r="C296" s="178">
        <v>19</v>
      </c>
      <c r="D296" s="112">
        <v>43830</v>
      </c>
      <c r="E296" s="132">
        <v>365</v>
      </c>
      <c r="F296" s="63">
        <v>71540</v>
      </c>
      <c r="G296" s="144">
        <v>55678</v>
      </c>
      <c r="H296" s="64">
        <v>0.77827788649706453</v>
      </c>
      <c r="I296" s="157">
        <v>196</v>
      </c>
      <c r="J296" s="89">
        <v>196</v>
      </c>
    </row>
    <row r="297" spans="1:11" x14ac:dyDescent="0.2">
      <c r="A297" s="8" t="s">
        <v>259</v>
      </c>
      <c r="B297" s="62">
        <v>4</v>
      </c>
      <c r="C297" s="178">
        <v>19</v>
      </c>
      <c r="D297" s="112">
        <v>43830</v>
      </c>
      <c r="E297" s="132">
        <v>365</v>
      </c>
      <c r="F297" s="63">
        <v>21900</v>
      </c>
      <c r="G297" s="144">
        <v>20171</v>
      </c>
      <c r="H297" s="64">
        <v>0.92105022831050232</v>
      </c>
      <c r="I297" s="157">
        <v>60</v>
      </c>
      <c r="J297" s="89">
        <v>60</v>
      </c>
    </row>
    <row r="298" spans="1:11" x14ac:dyDescent="0.2">
      <c r="A298" s="8" t="s">
        <v>100</v>
      </c>
      <c r="C298" s="178">
        <v>19</v>
      </c>
      <c r="D298" s="112">
        <v>43769</v>
      </c>
      <c r="E298" s="132">
        <v>304</v>
      </c>
      <c r="F298" s="63">
        <v>36480</v>
      </c>
      <c r="G298" s="144">
        <v>27905</v>
      </c>
      <c r="H298" s="64">
        <v>0.76493969298245612</v>
      </c>
      <c r="I298" s="171" t="s">
        <v>361</v>
      </c>
      <c r="J298" s="104" t="s">
        <v>361</v>
      </c>
      <c r="K298" s="15" t="s">
        <v>362</v>
      </c>
    </row>
    <row r="299" spans="1:11" x14ac:dyDescent="0.2">
      <c r="A299" s="8" t="s">
        <v>104</v>
      </c>
      <c r="B299" s="62">
        <v>4</v>
      </c>
      <c r="C299" s="178">
        <v>19</v>
      </c>
      <c r="D299" s="112">
        <v>43830</v>
      </c>
      <c r="E299" s="132">
        <v>365</v>
      </c>
      <c r="F299" s="63">
        <v>23725</v>
      </c>
      <c r="G299" s="144">
        <v>21756</v>
      </c>
      <c r="H299" s="64">
        <v>0.91700737618545836</v>
      </c>
      <c r="I299" s="157">
        <v>65</v>
      </c>
      <c r="J299" s="89">
        <v>65</v>
      </c>
    </row>
    <row r="300" spans="1:11" x14ac:dyDescent="0.2">
      <c r="A300" s="8" t="s">
        <v>264</v>
      </c>
      <c r="B300" s="62">
        <v>4</v>
      </c>
      <c r="C300" s="178">
        <v>19</v>
      </c>
      <c r="D300" s="112">
        <v>43830</v>
      </c>
      <c r="E300" s="132">
        <v>365</v>
      </c>
      <c r="F300" s="63">
        <v>47450</v>
      </c>
      <c r="G300" s="144">
        <v>32273</v>
      </c>
      <c r="H300" s="64">
        <v>0.68014752370916753</v>
      </c>
      <c r="I300" s="157">
        <v>130</v>
      </c>
      <c r="J300" s="89">
        <v>130</v>
      </c>
    </row>
    <row r="301" spans="1:11" x14ac:dyDescent="0.2">
      <c r="A301" s="8" t="s">
        <v>267</v>
      </c>
      <c r="B301" s="62">
        <v>4</v>
      </c>
      <c r="C301" s="178">
        <v>19</v>
      </c>
      <c r="D301" s="112">
        <v>43830</v>
      </c>
      <c r="E301" s="132">
        <v>365</v>
      </c>
      <c r="F301" s="63">
        <v>43800</v>
      </c>
      <c r="G301" s="144">
        <v>41196</v>
      </c>
      <c r="H301" s="64">
        <v>0.94054794520547946</v>
      </c>
      <c r="I301" s="157">
        <v>120</v>
      </c>
      <c r="J301" s="89">
        <v>120</v>
      </c>
    </row>
    <row r="302" spans="1:11" x14ac:dyDescent="0.2">
      <c r="A302" s="8" t="s">
        <v>117</v>
      </c>
      <c r="B302" s="62">
        <v>4</v>
      </c>
      <c r="C302" s="178">
        <v>19</v>
      </c>
      <c r="D302" s="112">
        <v>43830</v>
      </c>
      <c r="E302" s="132">
        <v>365</v>
      </c>
      <c r="F302" s="63">
        <v>45260</v>
      </c>
      <c r="G302" s="144">
        <v>40669</v>
      </c>
      <c r="H302" s="64">
        <v>0.8985638532920901</v>
      </c>
      <c r="I302" s="157">
        <v>124</v>
      </c>
      <c r="J302" s="89">
        <v>106</v>
      </c>
    </row>
    <row r="303" spans="1:11" x14ac:dyDescent="0.2">
      <c r="A303" s="8" t="s">
        <v>270</v>
      </c>
      <c r="B303" s="62">
        <v>4</v>
      </c>
      <c r="C303" s="178">
        <v>19</v>
      </c>
      <c r="D303" s="112">
        <v>43830</v>
      </c>
      <c r="E303" s="132">
        <v>365</v>
      </c>
      <c r="F303" s="63">
        <v>43800</v>
      </c>
      <c r="G303" s="144">
        <v>37959</v>
      </c>
      <c r="H303" s="64">
        <v>0.86664383561643832</v>
      </c>
      <c r="I303" s="157">
        <v>120</v>
      </c>
      <c r="J303" s="89">
        <v>120</v>
      </c>
    </row>
    <row r="304" spans="1:11" s="12" customFormat="1" ht="11.45" customHeight="1" x14ac:dyDescent="0.25">
      <c r="A304" s="54" t="s">
        <v>372</v>
      </c>
      <c r="B304" s="72">
        <f>COUNTA(B294:B303)</f>
        <v>9</v>
      </c>
      <c r="C304" s="179"/>
      <c r="D304" s="126"/>
      <c r="E304" s="133"/>
      <c r="F304" s="29">
        <f>SUM(F294:F303)</f>
        <v>385075</v>
      </c>
      <c r="G304" s="147">
        <f>SUM(G294:G303)</f>
        <v>324219</v>
      </c>
      <c r="H304" s="161">
        <f>G304/F304</f>
        <v>0.84196325391157567</v>
      </c>
      <c r="I304" s="133">
        <f>SUM(I294:I303)</f>
        <v>1055</v>
      </c>
      <c r="J304" s="90">
        <f>SUM(J294:J303)</f>
        <v>1037</v>
      </c>
      <c r="K304" s="16" t="s">
        <v>315</v>
      </c>
    </row>
    <row r="305" spans="1:11" s="14" customFormat="1" ht="11.45" customHeight="1" x14ac:dyDescent="0.25">
      <c r="A305" s="55" t="s">
        <v>316</v>
      </c>
      <c r="B305" s="176"/>
      <c r="C305" s="180"/>
      <c r="D305" s="127"/>
      <c r="E305" s="130"/>
      <c r="F305" s="13">
        <f>SUM(F294:F303)</f>
        <v>385075</v>
      </c>
      <c r="G305" s="148">
        <f>SUM(G294:G303)</f>
        <v>324219</v>
      </c>
      <c r="H305" s="39">
        <f>G305/F305</f>
        <v>0.84196325391157567</v>
      </c>
      <c r="I305" s="130"/>
      <c r="J305" s="93"/>
      <c r="K305" s="16" t="s">
        <v>315</v>
      </c>
    </row>
    <row r="306" spans="1:11" s="12" customFormat="1" ht="11.45" customHeight="1" x14ac:dyDescent="0.25">
      <c r="A306" s="56"/>
      <c r="B306" s="73"/>
      <c r="C306" s="181"/>
      <c r="D306" s="128" t="s">
        <v>317</v>
      </c>
      <c r="E306" s="134"/>
      <c r="F306" s="29"/>
      <c r="G306" s="147"/>
      <c r="H306" s="39">
        <f>MEDIAN(H294:H303)</f>
        <v>0.88260384445426421</v>
      </c>
      <c r="I306" s="134"/>
      <c r="J306" s="94"/>
      <c r="K306" s="16" t="s">
        <v>329</v>
      </c>
    </row>
    <row r="307" spans="1:11" x14ac:dyDescent="0.2">
      <c r="F307" s="63"/>
      <c r="G307" s="144"/>
    </row>
    <row r="308" spans="1:11" s="12" customFormat="1" ht="11.45" customHeight="1" x14ac:dyDescent="0.25">
      <c r="A308" s="54" t="s">
        <v>376</v>
      </c>
      <c r="B308" s="72">
        <f>SUM(B243,B253,B290,B304)</f>
        <v>53</v>
      </c>
      <c r="C308" s="179"/>
      <c r="D308" s="126"/>
      <c r="E308" s="133"/>
      <c r="F308" s="29">
        <f>SUM(F243,F253,F290,F304)</f>
        <v>2409285</v>
      </c>
      <c r="G308" s="147">
        <f>SUM(G243,G253,G290,G304)</f>
        <v>2052513</v>
      </c>
      <c r="H308" s="161">
        <f>G308/F308</f>
        <v>0.85191789265279949</v>
      </c>
      <c r="I308" s="133">
        <f>SUM(I243,I253,I290,I304)</f>
        <v>6639</v>
      </c>
      <c r="J308" s="90">
        <f>SUM(J243,J253,J290,J304)</f>
        <v>5860</v>
      </c>
      <c r="K308" s="16" t="s">
        <v>315</v>
      </c>
    </row>
    <row r="309" spans="1:11" s="12" customFormat="1" ht="11.45" customHeight="1" x14ac:dyDescent="0.25">
      <c r="A309" s="55" t="s">
        <v>316</v>
      </c>
      <c r="B309" s="73"/>
      <c r="C309" s="181"/>
      <c r="D309" s="129"/>
      <c r="E309" s="134"/>
      <c r="F309" s="13">
        <f>SUM(F244,F254,F291,F305)</f>
        <v>2213695</v>
      </c>
      <c r="G309" s="148">
        <f>SUM(G244,G254,G291,G305)</f>
        <v>1904729</v>
      </c>
      <c r="H309" s="39">
        <f>G309/F309</f>
        <v>0.86042973399677913</v>
      </c>
      <c r="I309" s="134"/>
      <c r="J309" s="94"/>
      <c r="K309" s="16" t="s">
        <v>315</v>
      </c>
    </row>
    <row r="310" spans="1:11" s="14" customFormat="1" ht="11.45" customHeight="1" x14ac:dyDescent="0.25">
      <c r="A310" s="19" t="s">
        <v>332</v>
      </c>
      <c r="B310" s="74">
        <f>COUNT(B262,B263,B265,B272,B273,B282,B288)</f>
        <v>7</v>
      </c>
      <c r="C310" s="184">
        <f>COUNT(C262,C288)</f>
        <v>2</v>
      </c>
      <c r="D310" s="118"/>
      <c r="E310" s="137"/>
      <c r="F310" s="25">
        <f>SUM(F262,F263,F265,F272,F273,F282,F288)</f>
        <v>217490</v>
      </c>
      <c r="G310" s="152">
        <f>SUM(G262,G263,G265,G272,G273,G282,G288)</f>
        <v>167598</v>
      </c>
      <c r="H310" s="162">
        <f>G310/F310</f>
        <v>0.77060094716998484</v>
      </c>
      <c r="I310" s="135">
        <f>SUM(I262,I263,I265,I272,I273,I282,I288)</f>
        <v>598</v>
      </c>
      <c r="J310" s="98">
        <f>SUM(J262,J263,J265,J272,J273,J282,J288)</f>
        <v>154</v>
      </c>
      <c r="K310" s="16" t="s">
        <v>315</v>
      </c>
    </row>
    <row r="311" spans="1:11" x14ac:dyDescent="0.2">
      <c r="F311" s="63"/>
      <c r="G311" s="144"/>
    </row>
    <row r="312" spans="1:11" s="10" customFormat="1" x14ac:dyDescent="0.2">
      <c r="A312" s="9"/>
      <c r="B312" s="75"/>
      <c r="C312" s="183"/>
      <c r="D312" s="113"/>
      <c r="E312" s="136"/>
      <c r="F312" s="76"/>
      <c r="G312" s="153"/>
      <c r="H312" s="77"/>
      <c r="I312" s="153"/>
      <c r="J312" s="105"/>
      <c r="K312" s="22"/>
    </row>
    <row r="313" spans="1:11" x14ac:dyDescent="0.2">
      <c r="A313" s="8" t="s">
        <v>283</v>
      </c>
      <c r="B313" s="62">
        <v>5</v>
      </c>
      <c r="C313" s="178">
        <v>17</v>
      </c>
      <c r="D313" s="112">
        <v>43830</v>
      </c>
      <c r="E313" s="132">
        <v>365</v>
      </c>
      <c r="F313" s="63">
        <v>43800</v>
      </c>
      <c r="G313" s="144">
        <v>27709</v>
      </c>
      <c r="H313" s="64">
        <v>0.6326255707762557</v>
      </c>
      <c r="I313" s="157">
        <v>120</v>
      </c>
      <c r="J313" s="89">
        <v>120</v>
      </c>
    </row>
    <row r="314" spans="1:11" x14ac:dyDescent="0.2">
      <c r="A314" s="8" t="s">
        <v>151</v>
      </c>
      <c r="B314" s="62">
        <v>5</v>
      </c>
      <c r="C314" s="178">
        <v>17</v>
      </c>
      <c r="D314" s="112">
        <v>43555</v>
      </c>
      <c r="E314" s="132">
        <v>365</v>
      </c>
      <c r="F314" s="68">
        <v>15330</v>
      </c>
      <c r="G314" s="146">
        <v>13183</v>
      </c>
      <c r="H314" s="69">
        <v>0.85994781474233528</v>
      </c>
      <c r="I314" s="157">
        <v>42</v>
      </c>
      <c r="J314" s="89">
        <v>42</v>
      </c>
      <c r="K314" s="15" t="s">
        <v>320</v>
      </c>
    </row>
    <row r="315" spans="1:11" x14ac:dyDescent="0.2">
      <c r="A315" s="8" t="s">
        <v>155</v>
      </c>
      <c r="B315" s="62">
        <v>5</v>
      </c>
      <c r="C315" s="178">
        <v>17</v>
      </c>
      <c r="D315" s="112">
        <v>43830</v>
      </c>
      <c r="E315" s="132">
        <v>365</v>
      </c>
      <c r="F315" s="63">
        <v>29200</v>
      </c>
      <c r="G315" s="144">
        <v>26022</v>
      </c>
      <c r="H315" s="64">
        <v>0.89116438356164385</v>
      </c>
      <c r="I315" s="157">
        <v>80</v>
      </c>
      <c r="J315" s="89">
        <v>80</v>
      </c>
    </row>
    <row r="316" spans="1:11" x14ac:dyDescent="0.2">
      <c r="A316" s="8" t="s">
        <v>182</v>
      </c>
      <c r="B316" s="62">
        <v>5</v>
      </c>
      <c r="C316" s="178">
        <v>17</v>
      </c>
      <c r="D316" s="112">
        <v>43769</v>
      </c>
      <c r="E316" s="132">
        <v>365</v>
      </c>
      <c r="F316" s="63">
        <v>24090</v>
      </c>
      <c r="G316" s="144">
        <v>20614</v>
      </c>
      <c r="H316" s="64">
        <v>0.85570776255707759</v>
      </c>
      <c r="I316" s="157">
        <v>66</v>
      </c>
      <c r="J316" s="89">
        <v>61</v>
      </c>
    </row>
    <row r="317" spans="1:11" s="12" customFormat="1" ht="11.45" customHeight="1" x14ac:dyDescent="0.25">
      <c r="A317" s="54" t="s">
        <v>379</v>
      </c>
      <c r="B317" s="72">
        <f>COUNTA(B313:B316)</f>
        <v>4</v>
      </c>
      <c r="C317" s="179"/>
      <c r="D317" s="126"/>
      <c r="E317" s="133"/>
      <c r="F317" s="29">
        <f>SUM(F313:F316)</f>
        <v>112420</v>
      </c>
      <c r="G317" s="147">
        <f>SUM(G313:G316)</f>
        <v>87528</v>
      </c>
      <c r="H317" s="161">
        <f>G317/F317</f>
        <v>0.77858032378580322</v>
      </c>
      <c r="I317" s="133">
        <f t="shared" ref="I317:J317" si="6">SUM(I313:I316)</f>
        <v>308</v>
      </c>
      <c r="J317" s="90">
        <f t="shared" si="6"/>
        <v>303</v>
      </c>
      <c r="K317" s="16" t="s">
        <v>315</v>
      </c>
    </row>
    <row r="318" spans="1:11" s="14" customFormat="1" ht="11.45" customHeight="1" x14ac:dyDescent="0.25">
      <c r="A318" s="55" t="s">
        <v>316</v>
      </c>
      <c r="B318" s="176"/>
      <c r="C318" s="180"/>
      <c r="D318" s="127"/>
      <c r="E318" s="130"/>
      <c r="F318" s="13">
        <f>SUM(F313,F315:F316)</f>
        <v>97090</v>
      </c>
      <c r="G318" s="148">
        <f>SUM(G313,G315:G316)</f>
        <v>74345</v>
      </c>
      <c r="H318" s="39">
        <f>G318/F318</f>
        <v>0.76573282521371921</v>
      </c>
      <c r="I318" s="130"/>
      <c r="J318" s="93"/>
      <c r="K318" s="16" t="s">
        <v>315</v>
      </c>
    </row>
    <row r="319" spans="1:11" s="12" customFormat="1" ht="11.45" customHeight="1" x14ac:dyDescent="0.25">
      <c r="A319" s="56"/>
      <c r="B319" s="73"/>
      <c r="C319" s="181"/>
      <c r="D319" s="128" t="s">
        <v>317</v>
      </c>
      <c r="E319" s="134"/>
      <c r="F319" s="29"/>
      <c r="G319" s="147"/>
      <c r="H319" s="39">
        <f>MEDIAN(H313,H315:H316)</f>
        <v>0.85570776255707759</v>
      </c>
      <c r="I319" s="134"/>
      <c r="J319" s="94"/>
      <c r="K319" s="16" t="s">
        <v>326</v>
      </c>
    </row>
    <row r="320" spans="1:11" x14ac:dyDescent="0.2">
      <c r="F320" s="63"/>
      <c r="G320" s="144"/>
    </row>
    <row r="321" spans="1:11" x14ac:dyDescent="0.2">
      <c r="A321" s="8" t="s">
        <v>135</v>
      </c>
      <c r="B321" s="62">
        <v>5</v>
      </c>
      <c r="C321" s="178">
        <v>18</v>
      </c>
      <c r="D321" s="112">
        <v>43830</v>
      </c>
      <c r="E321" s="132">
        <v>365</v>
      </c>
      <c r="F321" s="63">
        <v>21900</v>
      </c>
      <c r="G321" s="144">
        <v>19700</v>
      </c>
      <c r="H321" s="64">
        <v>0.8995433789954338</v>
      </c>
      <c r="I321" s="157">
        <v>60</v>
      </c>
      <c r="J321" s="89">
        <v>60</v>
      </c>
    </row>
    <row r="322" spans="1:11" x14ac:dyDescent="0.2">
      <c r="A322" s="8" t="s">
        <v>140</v>
      </c>
      <c r="B322" s="62">
        <v>5</v>
      </c>
      <c r="C322" s="178">
        <v>18</v>
      </c>
      <c r="D322" s="112">
        <v>43830</v>
      </c>
      <c r="E322" s="132">
        <v>365</v>
      </c>
      <c r="F322" s="66">
        <v>20075</v>
      </c>
      <c r="G322" s="145">
        <v>17379</v>
      </c>
      <c r="H322" s="67">
        <v>0.86570361145703612</v>
      </c>
      <c r="I322" s="157">
        <v>55</v>
      </c>
      <c r="J322" s="89">
        <v>0</v>
      </c>
      <c r="K322" s="15" t="s">
        <v>318</v>
      </c>
    </row>
    <row r="323" spans="1:11" x14ac:dyDescent="0.2">
      <c r="A323" s="8" t="s">
        <v>146</v>
      </c>
      <c r="B323" s="62">
        <v>5</v>
      </c>
      <c r="C323" s="178">
        <v>18</v>
      </c>
      <c r="D323" s="112">
        <v>43830</v>
      </c>
      <c r="E323" s="132">
        <v>365</v>
      </c>
      <c r="F323" s="70">
        <f>64*57+94*(365-57)</f>
        <v>32600</v>
      </c>
      <c r="G323" s="150">
        <v>24962</v>
      </c>
      <c r="H323" s="71">
        <f>G323/F323</f>
        <v>0.76570552147239268</v>
      </c>
      <c r="I323" s="165">
        <v>94</v>
      </c>
      <c r="J323" s="95">
        <v>94</v>
      </c>
      <c r="K323" s="32" t="s">
        <v>381</v>
      </c>
    </row>
    <row r="324" spans="1:11" x14ac:dyDescent="0.2">
      <c r="A324" s="8" t="s">
        <v>291</v>
      </c>
      <c r="B324" s="62">
        <v>5</v>
      </c>
      <c r="C324" s="178">
        <v>18</v>
      </c>
      <c r="D324" s="112">
        <v>43830</v>
      </c>
      <c r="E324" s="132">
        <v>365</v>
      </c>
      <c r="F324" s="63">
        <v>21900</v>
      </c>
      <c r="G324" s="144">
        <v>21605</v>
      </c>
      <c r="H324" s="64">
        <v>0.98652968036529676</v>
      </c>
      <c r="I324" s="157">
        <v>60</v>
      </c>
      <c r="J324" s="89">
        <v>60</v>
      </c>
    </row>
    <row r="325" spans="1:11" x14ac:dyDescent="0.2">
      <c r="A325" s="8" t="s">
        <v>292</v>
      </c>
      <c r="B325" s="62">
        <v>5</v>
      </c>
      <c r="C325" s="178">
        <v>18</v>
      </c>
      <c r="D325" s="112">
        <v>43830</v>
      </c>
      <c r="E325" s="132">
        <v>365</v>
      </c>
      <c r="F325" s="63">
        <v>21900</v>
      </c>
      <c r="G325" s="144">
        <v>20768</v>
      </c>
      <c r="H325" s="64">
        <v>0.94831050228310498</v>
      </c>
      <c r="I325" s="157">
        <v>60</v>
      </c>
      <c r="J325" s="89">
        <v>60</v>
      </c>
    </row>
    <row r="326" spans="1:11" x14ac:dyDescent="0.2">
      <c r="A326" s="8" t="s">
        <v>294</v>
      </c>
      <c r="B326" s="62">
        <v>5</v>
      </c>
      <c r="C326" s="178">
        <v>18</v>
      </c>
      <c r="D326" s="112">
        <v>43830</v>
      </c>
      <c r="E326" s="132">
        <v>365</v>
      </c>
      <c r="F326" s="63">
        <v>21900</v>
      </c>
      <c r="G326" s="144">
        <v>19735</v>
      </c>
      <c r="H326" s="64">
        <v>0.90114155251141548</v>
      </c>
      <c r="I326" s="157">
        <v>60</v>
      </c>
      <c r="J326" s="89">
        <v>60</v>
      </c>
    </row>
    <row r="327" spans="1:11" x14ac:dyDescent="0.2">
      <c r="A327" s="8" t="s">
        <v>304</v>
      </c>
      <c r="B327" s="62">
        <v>5</v>
      </c>
      <c r="C327" s="178">
        <v>18</v>
      </c>
      <c r="D327" s="112">
        <v>43830</v>
      </c>
      <c r="E327" s="132">
        <v>365</v>
      </c>
      <c r="F327" s="63">
        <v>66065</v>
      </c>
      <c r="G327" s="144">
        <v>52430</v>
      </c>
      <c r="H327" s="64">
        <v>0.79361235147203513</v>
      </c>
      <c r="I327" s="157">
        <v>181</v>
      </c>
      <c r="J327" s="89">
        <v>181</v>
      </c>
    </row>
    <row r="328" spans="1:11" s="12" customFormat="1" ht="11.45" customHeight="1" x14ac:dyDescent="0.25">
      <c r="A328" s="54" t="s">
        <v>380</v>
      </c>
      <c r="B328" s="72">
        <f>COUNTA(B321:B327)</f>
        <v>7</v>
      </c>
      <c r="C328" s="179"/>
      <c r="D328" s="126"/>
      <c r="E328" s="133"/>
      <c r="F328" s="29">
        <f>SUM(F321:F327)</f>
        <v>206340</v>
      </c>
      <c r="G328" s="147">
        <f>SUM(G321:G327)</f>
        <v>176579</v>
      </c>
      <c r="H328" s="161">
        <f>G328/F328</f>
        <v>0.85576718038189392</v>
      </c>
      <c r="I328" s="133">
        <f>SUM(I321:I327)</f>
        <v>570</v>
      </c>
      <c r="J328" s="90">
        <f>SUM(J321:J327)</f>
        <v>515</v>
      </c>
      <c r="K328" s="16" t="s">
        <v>323</v>
      </c>
    </row>
    <row r="329" spans="1:11" s="14" customFormat="1" ht="11.45" customHeight="1" x14ac:dyDescent="0.25">
      <c r="A329" s="55" t="s">
        <v>316</v>
      </c>
      <c r="B329" s="176"/>
      <c r="C329" s="180"/>
      <c r="D329" s="127"/>
      <c r="E329" s="130"/>
      <c r="F329" s="13">
        <f>SUM(F321,F323:F327)</f>
        <v>186265</v>
      </c>
      <c r="G329" s="148">
        <f>SUM(G321,G323:G327)</f>
        <v>159200</v>
      </c>
      <c r="H329" s="39">
        <f>G329/F329</f>
        <v>0.85469626607253102</v>
      </c>
      <c r="I329" s="130"/>
      <c r="J329" s="93"/>
      <c r="K329" s="16" t="s">
        <v>323</v>
      </c>
    </row>
    <row r="330" spans="1:11" s="12" customFormat="1" ht="11.45" customHeight="1" x14ac:dyDescent="0.25">
      <c r="A330" s="56"/>
      <c r="B330" s="73"/>
      <c r="C330" s="181"/>
      <c r="D330" s="128" t="s">
        <v>317</v>
      </c>
      <c r="E330" s="134"/>
      <c r="F330" s="29"/>
      <c r="G330" s="147"/>
      <c r="H330" s="39">
        <f>MEDIAN(H321,H323:H327)</f>
        <v>0.90034246575342469</v>
      </c>
      <c r="I330" s="134"/>
      <c r="J330" s="94"/>
      <c r="K330" s="16" t="s">
        <v>329</v>
      </c>
    </row>
    <row r="331" spans="1:11" x14ac:dyDescent="0.2">
      <c r="F331" s="63"/>
      <c r="G331" s="144"/>
    </row>
    <row r="332" spans="1:11" x14ac:dyDescent="0.2">
      <c r="A332" s="8" t="s">
        <v>125</v>
      </c>
      <c r="B332" s="62">
        <v>5</v>
      </c>
      <c r="C332" s="178">
        <v>20</v>
      </c>
      <c r="D332" s="112">
        <v>43830</v>
      </c>
      <c r="E332" s="132">
        <v>184</v>
      </c>
      <c r="F332" s="63">
        <v>20608</v>
      </c>
      <c r="G332" s="144">
        <v>17098</v>
      </c>
      <c r="H332" s="64">
        <v>0.82967779503105588</v>
      </c>
      <c r="I332" s="157">
        <v>112</v>
      </c>
      <c r="J332" s="89">
        <v>112</v>
      </c>
      <c r="K332" s="15" t="s">
        <v>359</v>
      </c>
    </row>
    <row r="333" spans="1:11" x14ac:dyDescent="0.2">
      <c r="A333" s="8" t="s">
        <v>126</v>
      </c>
      <c r="B333" s="62">
        <v>5</v>
      </c>
      <c r="C333" s="178">
        <v>20</v>
      </c>
      <c r="D333" s="112">
        <v>43830</v>
      </c>
      <c r="E333" s="132">
        <v>184</v>
      </c>
      <c r="F333" s="63">
        <v>27232</v>
      </c>
      <c r="G333" s="144">
        <v>25168</v>
      </c>
      <c r="H333" s="64">
        <v>0.92420681551116335</v>
      </c>
      <c r="I333" s="157">
        <v>148</v>
      </c>
      <c r="J333" s="89">
        <v>125</v>
      </c>
      <c r="K333" s="15" t="s">
        <v>359</v>
      </c>
    </row>
    <row r="334" spans="1:11" x14ac:dyDescent="0.2">
      <c r="A334" s="8" t="s">
        <v>127</v>
      </c>
      <c r="B334" s="62">
        <v>5</v>
      </c>
      <c r="C334" s="178">
        <v>20</v>
      </c>
      <c r="D334" s="112">
        <v>43830</v>
      </c>
      <c r="E334" s="132">
        <v>184</v>
      </c>
      <c r="F334" s="63">
        <v>25392</v>
      </c>
      <c r="G334" s="144">
        <v>21008</v>
      </c>
      <c r="H334" s="64">
        <v>0.82734719596723383</v>
      </c>
      <c r="I334" s="157">
        <v>138</v>
      </c>
      <c r="J334" s="89">
        <v>138</v>
      </c>
      <c r="K334" s="15" t="s">
        <v>368</v>
      </c>
    </row>
    <row r="335" spans="1:11" x14ac:dyDescent="0.2">
      <c r="A335" s="8" t="s">
        <v>128</v>
      </c>
      <c r="B335" s="62">
        <v>5</v>
      </c>
      <c r="C335" s="178">
        <v>20</v>
      </c>
      <c r="D335" s="112">
        <v>43830</v>
      </c>
      <c r="E335" s="132">
        <v>365</v>
      </c>
      <c r="F335" s="63">
        <v>42705</v>
      </c>
      <c r="G335" s="144">
        <v>39168</v>
      </c>
      <c r="H335" s="64">
        <v>0.91717597471022128</v>
      </c>
      <c r="I335" s="157">
        <v>117</v>
      </c>
      <c r="J335" s="89">
        <v>117</v>
      </c>
    </row>
    <row r="336" spans="1:11" x14ac:dyDescent="0.2">
      <c r="A336" s="8" t="s">
        <v>129</v>
      </c>
      <c r="B336" s="62">
        <v>5</v>
      </c>
      <c r="C336" s="178">
        <v>20</v>
      </c>
      <c r="D336" s="112">
        <v>43830</v>
      </c>
      <c r="E336" s="132">
        <v>365</v>
      </c>
      <c r="F336" s="63">
        <v>43800</v>
      </c>
      <c r="G336" s="144">
        <v>41307</v>
      </c>
      <c r="H336" s="64">
        <v>0.94308219178082187</v>
      </c>
      <c r="I336" s="157">
        <v>120</v>
      </c>
      <c r="J336" s="89">
        <v>120</v>
      </c>
    </row>
    <row r="337" spans="1:11" x14ac:dyDescent="0.2">
      <c r="A337" s="8" t="s">
        <v>130</v>
      </c>
      <c r="B337" s="62">
        <v>5</v>
      </c>
      <c r="C337" s="178">
        <v>20</v>
      </c>
      <c r="D337" s="112">
        <v>43830</v>
      </c>
      <c r="E337" s="132">
        <v>365</v>
      </c>
      <c r="F337" s="63">
        <v>39420</v>
      </c>
      <c r="G337" s="144">
        <v>36857</v>
      </c>
      <c r="H337" s="64">
        <v>0.93498224251648909</v>
      </c>
      <c r="I337" s="157">
        <v>108</v>
      </c>
      <c r="J337" s="89">
        <v>108</v>
      </c>
    </row>
    <row r="338" spans="1:11" x14ac:dyDescent="0.2">
      <c r="A338" s="8" t="s">
        <v>131</v>
      </c>
      <c r="B338" s="62">
        <v>5</v>
      </c>
      <c r="C338" s="178">
        <v>20</v>
      </c>
      <c r="D338" s="112">
        <v>43830</v>
      </c>
      <c r="E338" s="132">
        <v>365</v>
      </c>
      <c r="F338" s="63">
        <v>43800</v>
      </c>
      <c r="G338" s="144">
        <v>39886</v>
      </c>
      <c r="H338" s="64">
        <v>0.91063926940639273</v>
      </c>
      <c r="I338" s="157">
        <v>120</v>
      </c>
      <c r="J338" s="89">
        <v>120</v>
      </c>
    </row>
    <row r="339" spans="1:11" x14ac:dyDescent="0.2">
      <c r="A339" s="8" t="s">
        <v>273</v>
      </c>
      <c r="B339" s="62">
        <v>5</v>
      </c>
      <c r="C339" s="178">
        <v>20</v>
      </c>
      <c r="D339" s="112">
        <v>43830</v>
      </c>
      <c r="E339" s="132">
        <v>365</v>
      </c>
      <c r="F339" s="63">
        <v>21900</v>
      </c>
      <c r="G339" s="144">
        <v>19775</v>
      </c>
      <c r="H339" s="64">
        <v>0.90296803652968038</v>
      </c>
      <c r="I339" s="157">
        <v>60</v>
      </c>
      <c r="J339" s="89">
        <v>60</v>
      </c>
    </row>
    <row r="340" spans="1:11" x14ac:dyDescent="0.2">
      <c r="A340" s="8" t="s">
        <v>133</v>
      </c>
      <c r="B340" s="62">
        <v>5</v>
      </c>
      <c r="C340" s="178">
        <v>20</v>
      </c>
      <c r="D340" s="112">
        <v>43646</v>
      </c>
      <c r="E340" s="132">
        <v>365</v>
      </c>
      <c r="F340" s="63">
        <v>43800</v>
      </c>
      <c r="G340" s="144">
        <v>35227</v>
      </c>
      <c r="H340" s="64">
        <v>0.80426940639269406</v>
      </c>
      <c r="I340" s="157">
        <v>120</v>
      </c>
      <c r="J340" s="89">
        <v>120</v>
      </c>
    </row>
    <row r="341" spans="1:11" x14ac:dyDescent="0.2">
      <c r="A341" s="8" t="s">
        <v>274</v>
      </c>
      <c r="B341" s="62">
        <v>5</v>
      </c>
      <c r="C341" s="178">
        <v>20</v>
      </c>
      <c r="D341" s="112">
        <v>43708</v>
      </c>
      <c r="E341" s="132">
        <v>365</v>
      </c>
      <c r="F341" s="63">
        <v>8760</v>
      </c>
      <c r="G341" s="144">
        <v>6301</v>
      </c>
      <c r="H341" s="64">
        <v>0.71929223744292237</v>
      </c>
      <c r="I341" s="157">
        <v>24</v>
      </c>
      <c r="J341" s="89">
        <v>24</v>
      </c>
    </row>
    <row r="342" spans="1:11" x14ac:dyDescent="0.2">
      <c r="A342" s="8" t="s">
        <v>275</v>
      </c>
      <c r="B342" s="62">
        <v>5</v>
      </c>
      <c r="C342" s="178">
        <v>20</v>
      </c>
      <c r="D342" s="112">
        <v>43708</v>
      </c>
      <c r="E342" s="132">
        <v>365</v>
      </c>
      <c r="F342" s="63">
        <v>43800</v>
      </c>
      <c r="G342" s="144">
        <v>35431</v>
      </c>
      <c r="H342" s="64">
        <v>0.8089269406392694</v>
      </c>
      <c r="I342" s="157">
        <v>120</v>
      </c>
      <c r="J342" s="89">
        <v>120</v>
      </c>
    </row>
    <row r="343" spans="1:11" x14ac:dyDescent="0.2">
      <c r="A343" s="8" t="s">
        <v>134</v>
      </c>
      <c r="B343" s="62">
        <v>5</v>
      </c>
      <c r="C343" s="178">
        <v>20</v>
      </c>
      <c r="D343" s="112">
        <v>43830</v>
      </c>
      <c r="E343" s="132">
        <v>365</v>
      </c>
      <c r="F343" s="63">
        <v>43800</v>
      </c>
      <c r="G343" s="144">
        <v>38864</v>
      </c>
      <c r="H343" s="64">
        <v>0.88730593607305941</v>
      </c>
      <c r="I343" s="157">
        <v>120</v>
      </c>
      <c r="J343" s="89">
        <v>120</v>
      </c>
      <c r="K343" s="15" t="s">
        <v>366</v>
      </c>
    </row>
    <row r="344" spans="1:11" x14ac:dyDescent="0.2">
      <c r="A344" s="8" t="s">
        <v>277</v>
      </c>
      <c r="B344" s="62">
        <v>5</v>
      </c>
      <c r="C344" s="178">
        <v>20</v>
      </c>
      <c r="D344" s="112">
        <v>43830</v>
      </c>
      <c r="E344" s="132">
        <v>365</v>
      </c>
      <c r="F344" s="63">
        <v>65700</v>
      </c>
      <c r="G344" s="144">
        <v>62897</v>
      </c>
      <c r="H344" s="64">
        <v>0.95733637747336375</v>
      </c>
      <c r="I344" s="157">
        <v>180</v>
      </c>
      <c r="J344" s="89">
        <v>180</v>
      </c>
    </row>
    <row r="345" spans="1:11" x14ac:dyDescent="0.2">
      <c r="A345" s="8" t="s">
        <v>363</v>
      </c>
      <c r="B345" s="62">
        <v>5</v>
      </c>
      <c r="C345" s="178">
        <v>20</v>
      </c>
      <c r="D345" s="112">
        <v>43830</v>
      </c>
      <c r="E345" s="132">
        <v>184</v>
      </c>
      <c r="F345" s="63">
        <v>27600</v>
      </c>
      <c r="G345" s="144">
        <v>22463</v>
      </c>
      <c r="H345" s="64">
        <v>0.81387681159420289</v>
      </c>
      <c r="I345" s="157">
        <v>150</v>
      </c>
      <c r="J345" s="89">
        <v>150</v>
      </c>
      <c r="K345" s="15" t="s">
        <v>357</v>
      </c>
    </row>
    <row r="346" spans="1:11" x14ac:dyDescent="0.2">
      <c r="A346" s="8" t="s">
        <v>181</v>
      </c>
      <c r="C346" s="178">
        <v>20</v>
      </c>
      <c r="D346" s="112">
        <v>43646</v>
      </c>
      <c r="E346" s="132">
        <v>181</v>
      </c>
      <c r="F346" s="63">
        <v>24978</v>
      </c>
      <c r="G346" s="144">
        <v>21719</v>
      </c>
      <c r="H346" s="64">
        <v>0.86952518216030106</v>
      </c>
      <c r="I346" s="172" t="s">
        <v>389</v>
      </c>
      <c r="J346" s="106" t="s">
        <v>389</v>
      </c>
      <c r="K346" s="15" t="s">
        <v>360</v>
      </c>
    </row>
    <row r="347" spans="1:11" x14ac:dyDescent="0.2">
      <c r="A347" s="8" t="s">
        <v>414</v>
      </c>
      <c r="C347" s="178">
        <v>20</v>
      </c>
      <c r="D347" s="112">
        <v>43646</v>
      </c>
      <c r="E347" s="132">
        <v>181</v>
      </c>
      <c r="F347" s="63">
        <v>20272</v>
      </c>
      <c r="G347" s="144">
        <v>16288</v>
      </c>
      <c r="H347" s="64">
        <v>0.80347277032359909</v>
      </c>
      <c r="I347" s="172" t="s">
        <v>389</v>
      </c>
      <c r="J347" s="106" t="s">
        <v>389</v>
      </c>
      <c r="K347" s="15" t="s">
        <v>362</v>
      </c>
    </row>
    <row r="348" spans="1:11" x14ac:dyDescent="0.2">
      <c r="A348" s="8" t="s">
        <v>415</v>
      </c>
      <c r="C348" s="178">
        <v>20</v>
      </c>
      <c r="D348" s="112">
        <v>43646</v>
      </c>
      <c r="E348" s="132">
        <v>181</v>
      </c>
      <c r="F348" s="63">
        <v>26788</v>
      </c>
      <c r="G348" s="144">
        <v>24039</v>
      </c>
      <c r="H348" s="64">
        <v>0.89737942362251755</v>
      </c>
      <c r="I348" s="172" t="s">
        <v>389</v>
      </c>
      <c r="J348" s="106" t="s">
        <v>389</v>
      </c>
      <c r="K348" s="15" t="s">
        <v>362</v>
      </c>
    </row>
    <row r="349" spans="1:11" x14ac:dyDescent="0.2">
      <c r="A349" s="8" t="s">
        <v>136</v>
      </c>
      <c r="B349" s="62">
        <v>5</v>
      </c>
      <c r="C349" s="178">
        <v>20</v>
      </c>
      <c r="D349" s="112">
        <v>43830</v>
      </c>
      <c r="E349" s="132">
        <v>365</v>
      </c>
      <c r="F349" s="63">
        <v>81030</v>
      </c>
      <c r="G349" s="144">
        <v>77194</v>
      </c>
      <c r="H349" s="64">
        <v>0.95265950882389239</v>
      </c>
      <c r="I349" s="157">
        <v>222</v>
      </c>
      <c r="J349" s="89">
        <v>222</v>
      </c>
    </row>
    <row r="350" spans="1:11" x14ac:dyDescent="0.2">
      <c r="A350" s="8" t="s">
        <v>138</v>
      </c>
      <c r="B350" s="62">
        <v>5</v>
      </c>
      <c r="C350" s="178">
        <v>20</v>
      </c>
      <c r="D350" s="112">
        <v>43830</v>
      </c>
      <c r="E350" s="132">
        <v>365</v>
      </c>
      <c r="F350" s="63">
        <v>41610</v>
      </c>
      <c r="G350" s="144">
        <v>39670</v>
      </c>
      <c r="H350" s="64">
        <v>0.95337659216534487</v>
      </c>
      <c r="I350" s="157">
        <v>114</v>
      </c>
      <c r="J350" s="89">
        <v>114</v>
      </c>
    </row>
    <row r="351" spans="1:11" x14ac:dyDescent="0.2">
      <c r="A351" s="8" t="s">
        <v>279</v>
      </c>
      <c r="B351" s="62">
        <v>5</v>
      </c>
      <c r="C351" s="178">
        <v>20</v>
      </c>
      <c r="D351" s="112">
        <v>43830</v>
      </c>
      <c r="E351" s="132">
        <v>365</v>
      </c>
      <c r="F351" s="63">
        <v>32850</v>
      </c>
      <c r="G351" s="144">
        <v>30071</v>
      </c>
      <c r="H351" s="64">
        <v>0.91540334855403349</v>
      </c>
      <c r="I351" s="157">
        <v>90</v>
      </c>
      <c r="J351" s="89">
        <v>90</v>
      </c>
      <c r="K351" s="15" t="s">
        <v>358</v>
      </c>
    </row>
    <row r="352" spans="1:11" x14ac:dyDescent="0.2">
      <c r="A352" s="8" t="s">
        <v>141</v>
      </c>
      <c r="B352" s="62">
        <v>5</v>
      </c>
      <c r="C352" s="178">
        <v>20</v>
      </c>
      <c r="D352" s="112">
        <v>43738</v>
      </c>
      <c r="E352" s="132">
        <v>365</v>
      </c>
      <c r="F352" s="68">
        <v>12045</v>
      </c>
      <c r="G352" s="146">
        <v>10429</v>
      </c>
      <c r="H352" s="69">
        <v>0.86583644665836446</v>
      </c>
      <c r="I352" s="157">
        <v>33</v>
      </c>
      <c r="J352" s="89">
        <v>0</v>
      </c>
      <c r="K352" s="15" t="s">
        <v>320</v>
      </c>
    </row>
    <row r="353" spans="1:11" x14ac:dyDescent="0.2">
      <c r="A353" s="8" t="s">
        <v>280</v>
      </c>
      <c r="B353" s="62">
        <v>5</v>
      </c>
      <c r="C353" s="178">
        <v>20</v>
      </c>
      <c r="D353" s="112">
        <v>43830</v>
      </c>
      <c r="E353" s="132">
        <v>365</v>
      </c>
      <c r="F353" s="63">
        <v>61685</v>
      </c>
      <c r="G353" s="144">
        <v>54904</v>
      </c>
      <c r="H353" s="64">
        <v>0.8900705195752614</v>
      </c>
      <c r="I353" s="157">
        <v>169</v>
      </c>
      <c r="J353" s="89">
        <v>169</v>
      </c>
      <c r="K353" s="15" t="s">
        <v>369</v>
      </c>
    </row>
    <row r="354" spans="1:11" x14ac:dyDescent="0.2">
      <c r="A354" s="8" t="s">
        <v>143</v>
      </c>
      <c r="B354" s="62">
        <v>5</v>
      </c>
      <c r="C354" s="178">
        <v>20</v>
      </c>
      <c r="D354" s="112">
        <v>43830</v>
      </c>
      <c r="E354" s="132">
        <v>365</v>
      </c>
      <c r="F354" s="63">
        <v>32850</v>
      </c>
      <c r="G354" s="144">
        <v>31080</v>
      </c>
      <c r="H354" s="64">
        <v>0.94611872146118725</v>
      </c>
      <c r="I354" s="157">
        <v>90</v>
      </c>
      <c r="J354" s="89">
        <v>90</v>
      </c>
    </row>
    <row r="355" spans="1:11" x14ac:dyDescent="0.2">
      <c r="A355" s="8" t="s">
        <v>282</v>
      </c>
      <c r="B355" s="62">
        <v>5</v>
      </c>
      <c r="C355" s="178">
        <v>20</v>
      </c>
      <c r="D355" s="112">
        <v>43830</v>
      </c>
      <c r="E355" s="132">
        <v>365</v>
      </c>
      <c r="F355" s="63">
        <v>32850</v>
      </c>
      <c r="G355" s="144">
        <v>30522</v>
      </c>
      <c r="H355" s="64">
        <v>0.92913242009132424</v>
      </c>
      <c r="I355" s="157">
        <v>90</v>
      </c>
      <c r="J355" s="89">
        <v>90</v>
      </c>
    </row>
    <row r="356" spans="1:11" x14ac:dyDescent="0.2">
      <c r="A356" s="8" t="s">
        <v>144</v>
      </c>
      <c r="B356" s="62">
        <v>5</v>
      </c>
      <c r="C356" s="178">
        <v>20</v>
      </c>
      <c r="D356" s="112">
        <v>43738</v>
      </c>
      <c r="E356" s="132">
        <v>365</v>
      </c>
      <c r="F356" s="68">
        <v>14600</v>
      </c>
      <c r="G356" s="146">
        <v>9011</v>
      </c>
      <c r="H356" s="69">
        <v>0.61719178082191783</v>
      </c>
      <c r="I356" s="157">
        <v>40</v>
      </c>
      <c r="J356" s="89">
        <v>0</v>
      </c>
      <c r="K356" s="15" t="s">
        <v>320</v>
      </c>
    </row>
    <row r="357" spans="1:11" x14ac:dyDescent="0.2">
      <c r="A357" s="8" t="s">
        <v>145</v>
      </c>
      <c r="B357" s="62">
        <v>5</v>
      </c>
      <c r="C357" s="178">
        <v>20</v>
      </c>
      <c r="D357" s="112">
        <v>43646</v>
      </c>
      <c r="E357" s="132">
        <v>365</v>
      </c>
      <c r="F357" s="63">
        <v>70080</v>
      </c>
      <c r="G357" s="144">
        <v>58736</v>
      </c>
      <c r="H357" s="64">
        <v>0.83812785388127853</v>
      </c>
      <c r="I357" s="157">
        <v>192</v>
      </c>
      <c r="J357" s="89">
        <v>192</v>
      </c>
    </row>
    <row r="358" spans="1:11" x14ac:dyDescent="0.2">
      <c r="A358" s="8" t="s">
        <v>285</v>
      </c>
      <c r="B358" s="62">
        <v>5</v>
      </c>
      <c r="C358" s="178">
        <v>20</v>
      </c>
      <c r="D358" s="112">
        <v>43830</v>
      </c>
      <c r="E358" s="132">
        <v>365</v>
      </c>
      <c r="F358" s="63">
        <v>65700</v>
      </c>
      <c r="G358" s="144">
        <v>54433</v>
      </c>
      <c r="H358" s="64">
        <v>0.82850837138508371</v>
      </c>
      <c r="I358" s="157">
        <v>180</v>
      </c>
      <c r="J358" s="89">
        <v>180</v>
      </c>
    </row>
    <row r="359" spans="1:11" x14ac:dyDescent="0.2">
      <c r="A359" s="8" t="s">
        <v>287</v>
      </c>
      <c r="B359" s="62">
        <v>5</v>
      </c>
      <c r="C359" s="178">
        <v>20</v>
      </c>
      <c r="D359" s="112">
        <v>43646</v>
      </c>
      <c r="E359" s="132">
        <v>365</v>
      </c>
      <c r="F359" s="63">
        <v>10950</v>
      </c>
      <c r="G359" s="144">
        <v>10589</v>
      </c>
      <c r="H359" s="64">
        <v>0.96703196347031961</v>
      </c>
      <c r="I359" s="157">
        <v>30</v>
      </c>
      <c r="J359" s="89">
        <v>30</v>
      </c>
    </row>
    <row r="360" spans="1:11" x14ac:dyDescent="0.2">
      <c r="A360" s="8" t="s">
        <v>288</v>
      </c>
      <c r="B360" s="62">
        <v>5</v>
      </c>
      <c r="C360" s="178">
        <v>20</v>
      </c>
      <c r="D360" s="112">
        <v>43830</v>
      </c>
      <c r="E360" s="132">
        <v>184</v>
      </c>
      <c r="F360" s="63">
        <v>24288</v>
      </c>
      <c r="G360" s="144">
        <v>14808</v>
      </c>
      <c r="H360" s="64">
        <v>0.60968379446640319</v>
      </c>
      <c r="I360" s="157">
        <v>132</v>
      </c>
      <c r="J360" s="89">
        <v>132</v>
      </c>
      <c r="K360" s="15" t="s">
        <v>355</v>
      </c>
    </row>
    <row r="361" spans="1:11" x14ac:dyDescent="0.2">
      <c r="A361" s="8" t="s">
        <v>149</v>
      </c>
      <c r="B361" s="62">
        <v>5</v>
      </c>
      <c r="C361" s="178">
        <v>20</v>
      </c>
      <c r="D361" s="112">
        <v>43830</v>
      </c>
      <c r="E361" s="132">
        <v>365</v>
      </c>
      <c r="F361" s="63">
        <v>43800</v>
      </c>
      <c r="G361" s="144">
        <v>38370</v>
      </c>
      <c r="H361" s="64">
        <v>0.87602739726027401</v>
      </c>
      <c r="I361" s="157">
        <v>120</v>
      </c>
      <c r="J361" s="89">
        <v>120</v>
      </c>
    </row>
    <row r="362" spans="1:11" x14ac:dyDescent="0.2">
      <c r="A362" s="8" t="s">
        <v>150</v>
      </c>
      <c r="B362" s="62">
        <v>5</v>
      </c>
      <c r="C362" s="178">
        <v>20</v>
      </c>
      <c r="D362" s="112">
        <v>43830</v>
      </c>
      <c r="E362" s="132">
        <v>365</v>
      </c>
      <c r="F362" s="63">
        <v>43800</v>
      </c>
      <c r="G362" s="144">
        <v>40882</v>
      </c>
      <c r="H362" s="64">
        <v>0.93337899543378999</v>
      </c>
      <c r="I362" s="157">
        <v>120</v>
      </c>
      <c r="J362" s="89">
        <v>120</v>
      </c>
    </row>
    <row r="363" spans="1:11" x14ac:dyDescent="0.2">
      <c r="A363" s="8" t="s">
        <v>293</v>
      </c>
      <c r="B363" s="62">
        <v>5</v>
      </c>
      <c r="C363" s="178">
        <v>20</v>
      </c>
      <c r="D363" s="112">
        <v>43830</v>
      </c>
      <c r="E363" s="132">
        <v>365</v>
      </c>
      <c r="F363" s="63">
        <v>12410</v>
      </c>
      <c r="G363" s="144">
        <v>10026</v>
      </c>
      <c r="H363" s="64">
        <v>0.80789685737308625</v>
      </c>
      <c r="I363" s="157">
        <v>34</v>
      </c>
      <c r="J363" s="89">
        <v>0</v>
      </c>
    </row>
    <row r="364" spans="1:11" x14ac:dyDescent="0.2">
      <c r="A364" s="8" t="s">
        <v>367</v>
      </c>
      <c r="B364" s="62">
        <v>5</v>
      </c>
      <c r="C364" s="178">
        <v>20</v>
      </c>
      <c r="D364" s="112" t="s">
        <v>370</v>
      </c>
      <c r="F364" s="66"/>
      <c r="G364" s="145" t="s">
        <v>386</v>
      </c>
      <c r="H364" s="67"/>
      <c r="I364" s="157">
        <v>50</v>
      </c>
      <c r="J364" s="89">
        <v>0</v>
      </c>
      <c r="K364" s="15" t="s">
        <v>318</v>
      </c>
    </row>
    <row r="365" spans="1:11" x14ac:dyDescent="0.2">
      <c r="A365" s="8" t="s">
        <v>295</v>
      </c>
      <c r="B365" s="62">
        <v>5</v>
      </c>
      <c r="C365" s="178">
        <v>20</v>
      </c>
      <c r="D365" s="112">
        <v>43830</v>
      </c>
      <c r="E365" s="132">
        <v>365</v>
      </c>
      <c r="F365" s="63">
        <v>43800</v>
      </c>
      <c r="G365" s="144">
        <v>36619</v>
      </c>
      <c r="H365" s="64">
        <v>0.83605022831050224</v>
      </c>
      <c r="I365" s="157">
        <v>120</v>
      </c>
      <c r="J365" s="89">
        <v>120</v>
      </c>
    </row>
    <row r="366" spans="1:11" x14ac:dyDescent="0.2">
      <c r="A366" s="8" t="s">
        <v>297</v>
      </c>
      <c r="C366" s="178">
        <v>20</v>
      </c>
      <c r="D366" s="112">
        <v>43646</v>
      </c>
      <c r="E366" s="132">
        <v>181</v>
      </c>
      <c r="F366" s="70">
        <f>197*E366</f>
        <v>35657</v>
      </c>
      <c r="G366" s="144">
        <v>15644</v>
      </c>
      <c r="H366" s="64">
        <f>G366/F366</f>
        <v>0.43873573211431138</v>
      </c>
      <c r="I366" s="172" t="s">
        <v>389</v>
      </c>
      <c r="J366" s="106" t="s">
        <v>389</v>
      </c>
      <c r="K366" s="32" t="s">
        <v>393</v>
      </c>
    </row>
    <row r="367" spans="1:11" x14ac:dyDescent="0.2">
      <c r="A367" s="8" t="s">
        <v>298</v>
      </c>
      <c r="C367" s="178">
        <v>20</v>
      </c>
      <c r="D367" s="112">
        <v>43646</v>
      </c>
      <c r="E367" s="132">
        <v>181</v>
      </c>
      <c r="F367" s="70">
        <v>23892</v>
      </c>
      <c r="G367" s="144">
        <v>13227</v>
      </c>
      <c r="H367" s="64">
        <v>0.55361627322953288</v>
      </c>
      <c r="I367" s="172" t="s">
        <v>389</v>
      </c>
      <c r="J367" s="106" t="s">
        <v>389</v>
      </c>
      <c r="K367" s="15" t="s">
        <v>364</v>
      </c>
    </row>
    <row r="368" spans="1:11" x14ac:dyDescent="0.2">
      <c r="A368" s="8" t="s">
        <v>299</v>
      </c>
      <c r="B368" s="62">
        <v>5</v>
      </c>
      <c r="C368" s="178">
        <v>20</v>
      </c>
      <c r="D368" s="112">
        <v>43830</v>
      </c>
      <c r="E368" s="132">
        <v>365</v>
      </c>
      <c r="F368" s="70">
        <f>I368*E368</f>
        <v>42340</v>
      </c>
      <c r="G368" s="150">
        <v>33754</v>
      </c>
      <c r="H368" s="71">
        <f>G368/F368</f>
        <v>0.79721303731695792</v>
      </c>
      <c r="I368" s="165">
        <v>116</v>
      </c>
      <c r="J368" s="95">
        <v>116</v>
      </c>
      <c r="K368" s="32" t="s">
        <v>394</v>
      </c>
    </row>
    <row r="369" spans="1:11" x14ac:dyDescent="0.2">
      <c r="A369" s="8" t="s">
        <v>300</v>
      </c>
      <c r="B369" s="62">
        <v>5</v>
      </c>
      <c r="C369" s="178">
        <v>20</v>
      </c>
      <c r="D369" s="112">
        <v>43830</v>
      </c>
      <c r="E369" s="132">
        <v>365</v>
      </c>
      <c r="F369" s="70">
        <v>32850</v>
      </c>
      <c r="G369" s="144">
        <v>26688</v>
      </c>
      <c r="H369" s="64">
        <v>0.8124200913242009</v>
      </c>
      <c r="I369" s="157">
        <v>90</v>
      </c>
      <c r="J369" s="89">
        <v>90</v>
      </c>
    </row>
    <row r="370" spans="1:11" x14ac:dyDescent="0.2">
      <c r="A370" s="8" t="s">
        <v>152</v>
      </c>
      <c r="B370" s="62">
        <v>5</v>
      </c>
      <c r="C370" s="178">
        <v>20</v>
      </c>
      <c r="D370" s="112">
        <v>43830</v>
      </c>
      <c r="E370" s="132">
        <v>365</v>
      </c>
      <c r="F370" s="70">
        <f>I370*E370</f>
        <v>47085</v>
      </c>
      <c r="G370" s="150">
        <v>36328</v>
      </c>
      <c r="H370" s="71">
        <f>G370/F370</f>
        <v>0.77154083041308275</v>
      </c>
      <c r="I370" s="165">
        <v>129</v>
      </c>
      <c r="J370" s="95">
        <v>129</v>
      </c>
      <c r="K370" s="32" t="s">
        <v>395</v>
      </c>
    </row>
    <row r="371" spans="1:11" x14ac:dyDescent="0.2">
      <c r="A371" s="8" t="s">
        <v>302</v>
      </c>
      <c r="B371" s="62">
        <v>5</v>
      </c>
      <c r="C371" s="178">
        <v>20</v>
      </c>
      <c r="D371" s="112">
        <v>43799</v>
      </c>
      <c r="E371" s="132">
        <v>334</v>
      </c>
      <c r="F371" s="63">
        <v>20040</v>
      </c>
      <c r="G371" s="144">
        <v>17794</v>
      </c>
      <c r="H371" s="64">
        <v>0.88792415169660677</v>
      </c>
      <c r="I371" s="157">
        <v>60</v>
      </c>
      <c r="J371" s="89">
        <v>60</v>
      </c>
      <c r="K371" s="32" t="s">
        <v>365</v>
      </c>
    </row>
    <row r="372" spans="1:11" x14ac:dyDescent="0.2">
      <c r="A372" s="8" t="s">
        <v>303</v>
      </c>
      <c r="B372" s="62">
        <v>5</v>
      </c>
      <c r="C372" s="178">
        <v>20</v>
      </c>
      <c r="D372" s="112">
        <v>43830</v>
      </c>
      <c r="E372" s="132">
        <v>365</v>
      </c>
      <c r="F372" s="63">
        <v>65700</v>
      </c>
      <c r="G372" s="144">
        <v>61187</v>
      </c>
      <c r="H372" s="64">
        <v>0.93130898021308983</v>
      </c>
      <c r="I372" s="157">
        <v>180</v>
      </c>
      <c r="J372" s="89">
        <v>180</v>
      </c>
    </row>
    <row r="373" spans="1:11" x14ac:dyDescent="0.2">
      <c r="A373" s="8" t="s">
        <v>305</v>
      </c>
      <c r="B373" s="62">
        <v>5</v>
      </c>
      <c r="C373" s="178">
        <v>20</v>
      </c>
      <c r="D373" s="112">
        <v>43830</v>
      </c>
      <c r="E373" s="132">
        <v>184</v>
      </c>
      <c r="F373" s="63">
        <v>36248</v>
      </c>
      <c r="G373" s="144">
        <v>15772</v>
      </c>
      <c r="H373" s="64">
        <v>0.43511366144338998</v>
      </c>
      <c r="I373" s="157">
        <v>197</v>
      </c>
      <c r="J373" s="89">
        <v>197</v>
      </c>
      <c r="K373" s="15" t="s">
        <v>356</v>
      </c>
    </row>
    <row r="374" spans="1:11" x14ac:dyDescent="0.2">
      <c r="A374" s="8" t="s">
        <v>156</v>
      </c>
      <c r="B374" s="62">
        <v>5</v>
      </c>
      <c r="C374" s="178">
        <v>20</v>
      </c>
      <c r="D374" s="112">
        <v>43738</v>
      </c>
      <c r="E374" s="132">
        <v>365</v>
      </c>
      <c r="F374" s="68">
        <v>39420</v>
      </c>
      <c r="G374" s="146">
        <v>33298</v>
      </c>
      <c r="H374" s="69">
        <v>0.84469812278031453</v>
      </c>
      <c r="I374" s="157">
        <v>108</v>
      </c>
      <c r="J374" s="89">
        <v>12</v>
      </c>
      <c r="K374" s="15" t="s">
        <v>320</v>
      </c>
    </row>
    <row r="375" spans="1:11" s="12" customFormat="1" ht="11.45" customHeight="1" x14ac:dyDescent="0.25">
      <c r="A375" s="54" t="s">
        <v>352</v>
      </c>
      <c r="B375" s="72">
        <f>COUNTA(B332:B374)</f>
        <v>38</v>
      </c>
      <c r="C375" s="179"/>
      <c r="D375" s="126"/>
      <c r="E375" s="133"/>
      <c r="F375" s="29">
        <f>SUM(F332:F374)</f>
        <v>1537935</v>
      </c>
      <c r="G375" s="147">
        <f>SUM(G332:G374)</f>
        <v>1304532</v>
      </c>
      <c r="H375" s="161">
        <f>G375/F375</f>
        <v>0.84823610880823963</v>
      </c>
      <c r="I375" s="133">
        <f>SUM(I332:I374)</f>
        <v>4343</v>
      </c>
      <c r="J375" s="90">
        <f>SUM(J332:J374)</f>
        <v>4067</v>
      </c>
      <c r="K375" s="16" t="s">
        <v>323</v>
      </c>
    </row>
    <row r="376" spans="1:11" s="14" customFormat="1" ht="11.45" customHeight="1" x14ac:dyDescent="0.25">
      <c r="A376" s="55" t="s">
        <v>316</v>
      </c>
      <c r="B376" s="176"/>
      <c r="C376" s="180"/>
      <c r="D376" s="127"/>
      <c r="E376" s="130"/>
      <c r="F376" s="13">
        <f>SUM(F332:F351,F353:F355,F357:F363,F365:F373)</f>
        <v>1471870</v>
      </c>
      <c r="G376" s="148">
        <f>SUM(G332:G351,G353:G355,G357:G363,G365:G373)</f>
        <v>1251794</v>
      </c>
      <c r="H376" s="39">
        <f>G376/F376</f>
        <v>0.85047864281492247</v>
      </c>
      <c r="I376" s="130"/>
      <c r="J376" s="93"/>
      <c r="K376" s="16" t="s">
        <v>323</v>
      </c>
    </row>
    <row r="377" spans="1:11" s="12" customFormat="1" ht="11.45" customHeight="1" x14ac:dyDescent="0.25">
      <c r="A377" s="56"/>
      <c r="B377" s="73"/>
      <c r="C377" s="181"/>
      <c r="D377" s="128" t="s">
        <v>317</v>
      </c>
      <c r="E377" s="134"/>
      <c r="F377" s="29"/>
      <c r="G377" s="147"/>
      <c r="H377" s="39">
        <f>MEDIAN(H332:H351,H353:H355,H357:H363,H365:H373)</f>
        <v>0.87602739726027401</v>
      </c>
      <c r="I377" s="134"/>
      <c r="J377" s="94"/>
      <c r="K377" s="16" t="s">
        <v>329</v>
      </c>
    </row>
    <row r="378" spans="1:11" x14ac:dyDescent="0.2">
      <c r="F378" s="63"/>
      <c r="G378" s="144"/>
    </row>
    <row r="379" spans="1:11" x14ac:dyDescent="0.2">
      <c r="A379" s="8" t="s">
        <v>132</v>
      </c>
      <c r="B379" s="62">
        <v>5</v>
      </c>
      <c r="C379" s="178">
        <v>21</v>
      </c>
      <c r="D379" s="112">
        <v>43830</v>
      </c>
      <c r="E379" s="132">
        <v>365</v>
      </c>
      <c r="F379" s="63">
        <v>21900</v>
      </c>
      <c r="G379" s="144">
        <v>20163</v>
      </c>
      <c r="H379" s="64">
        <v>0.92068493150684927</v>
      </c>
      <c r="I379" s="157">
        <v>60</v>
      </c>
      <c r="J379" s="89">
        <v>60</v>
      </c>
    </row>
    <row r="380" spans="1:11" x14ac:dyDescent="0.2">
      <c r="A380" s="8" t="s">
        <v>276</v>
      </c>
      <c r="B380" s="62">
        <v>5</v>
      </c>
      <c r="C380" s="178">
        <v>21</v>
      </c>
      <c r="D380" s="112">
        <v>43708</v>
      </c>
      <c r="E380" s="132">
        <v>365</v>
      </c>
      <c r="F380" s="63">
        <v>41975</v>
      </c>
      <c r="G380" s="144">
        <v>32674</v>
      </c>
      <c r="H380" s="64">
        <v>0.77841572364502676</v>
      </c>
      <c r="I380" s="157">
        <v>115</v>
      </c>
      <c r="J380" s="89">
        <v>115</v>
      </c>
    </row>
    <row r="381" spans="1:11" x14ac:dyDescent="0.2">
      <c r="A381" s="8" t="s">
        <v>278</v>
      </c>
      <c r="B381" s="62">
        <v>5</v>
      </c>
      <c r="C381" s="178">
        <v>21</v>
      </c>
      <c r="D381" s="112">
        <v>43830</v>
      </c>
      <c r="E381" s="132">
        <v>365</v>
      </c>
      <c r="F381" s="63">
        <v>65700</v>
      </c>
      <c r="G381" s="144">
        <v>53310</v>
      </c>
      <c r="H381" s="64">
        <v>0.81141552511415527</v>
      </c>
      <c r="I381" s="157">
        <v>180</v>
      </c>
      <c r="J381" s="89">
        <v>180</v>
      </c>
    </row>
    <row r="382" spans="1:11" x14ac:dyDescent="0.2">
      <c r="A382" s="8" t="s">
        <v>137</v>
      </c>
      <c r="B382" s="62">
        <v>5</v>
      </c>
      <c r="C382" s="178">
        <v>21</v>
      </c>
      <c r="D382" s="112">
        <v>43830</v>
      </c>
      <c r="E382" s="132">
        <v>365</v>
      </c>
      <c r="F382" s="63">
        <v>32850</v>
      </c>
      <c r="G382" s="144">
        <v>30729</v>
      </c>
      <c r="H382" s="64">
        <v>0.9354337899543379</v>
      </c>
      <c r="I382" s="157">
        <v>90</v>
      </c>
      <c r="J382" s="89">
        <v>90</v>
      </c>
    </row>
    <row r="383" spans="1:11" x14ac:dyDescent="0.2">
      <c r="A383" s="8" t="s">
        <v>139</v>
      </c>
      <c r="B383" s="62">
        <v>5</v>
      </c>
      <c r="C383" s="178">
        <v>21</v>
      </c>
      <c r="D383" s="112">
        <v>43830</v>
      </c>
      <c r="E383" s="132">
        <v>365</v>
      </c>
      <c r="F383" s="63">
        <v>47450</v>
      </c>
      <c r="G383" s="144">
        <v>40365</v>
      </c>
      <c r="H383" s="64">
        <v>0.85068493150684932</v>
      </c>
      <c r="I383" s="157">
        <v>130</v>
      </c>
      <c r="J383" s="89">
        <v>130</v>
      </c>
    </row>
    <row r="384" spans="1:11" x14ac:dyDescent="0.2">
      <c r="A384" s="8" t="s">
        <v>281</v>
      </c>
      <c r="B384" s="62">
        <v>5</v>
      </c>
      <c r="C384" s="178">
        <v>21</v>
      </c>
      <c r="D384" s="112">
        <v>43830</v>
      </c>
      <c r="E384" s="132">
        <v>365</v>
      </c>
      <c r="F384" s="63">
        <v>56210</v>
      </c>
      <c r="G384" s="144">
        <v>52475</v>
      </c>
      <c r="H384" s="64">
        <v>0.93355274862124182</v>
      </c>
      <c r="I384" s="157">
        <v>154</v>
      </c>
      <c r="J384" s="89">
        <v>154</v>
      </c>
    </row>
    <row r="385" spans="1:11" x14ac:dyDescent="0.2">
      <c r="A385" s="8" t="s">
        <v>284</v>
      </c>
      <c r="B385" s="62">
        <v>5</v>
      </c>
      <c r="C385" s="178">
        <v>21</v>
      </c>
      <c r="D385" s="112">
        <v>43830</v>
      </c>
      <c r="E385" s="132">
        <v>365</v>
      </c>
      <c r="F385" s="63">
        <v>37230</v>
      </c>
      <c r="G385" s="144">
        <v>33604</v>
      </c>
      <c r="H385" s="64">
        <v>0.90260542573193658</v>
      </c>
      <c r="I385" s="157">
        <v>102</v>
      </c>
      <c r="J385" s="89">
        <v>102</v>
      </c>
    </row>
    <row r="386" spans="1:11" x14ac:dyDescent="0.2">
      <c r="A386" s="8" t="s">
        <v>147</v>
      </c>
      <c r="B386" s="62">
        <v>5</v>
      </c>
      <c r="C386" s="178">
        <v>21</v>
      </c>
      <c r="D386" s="112">
        <v>43830</v>
      </c>
      <c r="E386" s="132">
        <v>365</v>
      </c>
      <c r="F386" s="66">
        <v>21900</v>
      </c>
      <c r="G386" s="145">
        <v>16585</v>
      </c>
      <c r="H386" s="67">
        <v>0.7573059360730594</v>
      </c>
      <c r="I386" s="157">
        <v>60</v>
      </c>
      <c r="J386" s="89">
        <v>60</v>
      </c>
      <c r="K386" s="15" t="s">
        <v>337</v>
      </c>
    </row>
    <row r="387" spans="1:11" x14ac:dyDescent="0.2">
      <c r="A387" s="8" t="s">
        <v>286</v>
      </c>
      <c r="B387" s="62">
        <v>5</v>
      </c>
      <c r="C387" s="178">
        <v>21</v>
      </c>
      <c r="D387" s="112">
        <v>43830</v>
      </c>
      <c r="E387" s="132">
        <v>365</v>
      </c>
      <c r="F387" s="63">
        <v>25550</v>
      </c>
      <c r="G387" s="144">
        <v>24522</v>
      </c>
      <c r="H387" s="64">
        <v>0.95976516634050879</v>
      </c>
      <c r="I387" s="157">
        <v>70</v>
      </c>
      <c r="J387" s="89">
        <v>70</v>
      </c>
    </row>
    <row r="388" spans="1:11" x14ac:dyDescent="0.2">
      <c r="A388" s="8" t="s">
        <v>148</v>
      </c>
      <c r="B388" s="62">
        <v>5</v>
      </c>
      <c r="C388" s="178">
        <v>21</v>
      </c>
      <c r="D388" s="112">
        <v>43830</v>
      </c>
      <c r="E388" s="132">
        <v>365</v>
      </c>
      <c r="F388" s="68">
        <v>21900</v>
      </c>
      <c r="G388" s="146">
        <v>17107</v>
      </c>
      <c r="H388" s="69">
        <v>0.78114155251141548</v>
      </c>
      <c r="I388" s="157">
        <v>60</v>
      </c>
      <c r="J388" s="89">
        <v>0</v>
      </c>
      <c r="K388" s="15" t="s">
        <v>320</v>
      </c>
    </row>
    <row r="389" spans="1:11" x14ac:dyDescent="0.2">
      <c r="A389" s="8" t="s">
        <v>289</v>
      </c>
      <c r="B389" s="62">
        <v>5</v>
      </c>
      <c r="C389" s="178">
        <v>21</v>
      </c>
      <c r="D389" s="112">
        <v>43830</v>
      </c>
      <c r="E389" s="132">
        <v>365</v>
      </c>
      <c r="F389" s="63">
        <v>21900</v>
      </c>
      <c r="G389" s="144">
        <v>19976</v>
      </c>
      <c r="H389" s="64">
        <v>0.91214611872146123</v>
      </c>
      <c r="I389" s="157">
        <v>60</v>
      </c>
      <c r="J389" s="89">
        <v>0</v>
      </c>
    </row>
    <row r="390" spans="1:11" x14ac:dyDescent="0.2">
      <c r="A390" s="8" t="s">
        <v>290</v>
      </c>
      <c r="B390" s="62">
        <v>5</v>
      </c>
      <c r="C390" s="178">
        <v>21</v>
      </c>
      <c r="D390" s="112">
        <v>43830</v>
      </c>
      <c r="E390" s="132">
        <v>365</v>
      </c>
      <c r="F390" s="63">
        <v>47450</v>
      </c>
      <c r="G390" s="144">
        <v>39001</v>
      </c>
      <c r="H390" s="64">
        <v>0.82193888303477347</v>
      </c>
      <c r="I390" s="157">
        <v>130</v>
      </c>
      <c r="J390" s="89">
        <v>130</v>
      </c>
    </row>
    <row r="391" spans="1:11" x14ac:dyDescent="0.2">
      <c r="A391" s="8" t="s">
        <v>296</v>
      </c>
      <c r="B391" s="62">
        <v>5</v>
      </c>
      <c r="C391" s="178">
        <v>21</v>
      </c>
      <c r="D391" s="112">
        <v>43830</v>
      </c>
      <c r="E391" s="132">
        <v>365</v>
      </c>
      <c r="F391" s="63">
        <v>31390</v>
      </c>
      <c r="G391" s="144">
        <v>23896</v>
      </c>
      <c r="H391" s="64">
        <v>0.76126154826377823</v>
      </c>
      <c r="I391" s="157">
        <v>86</v>
      </c>
      <c r="J391" s="89">
        <v>86</v>
      </c>
    </row>
    <row r="392" spans="1:11" x14ac:dyDescent="0.2">
      <c r="A392" s="8" t="s">
        <v>153</v>
      </c>
      <c r="B392" s="62">
        <v>5</v>
      </c>
      <c r="C392" s="178">
        <v>21</v>
      </c>
      <c r="D392" s="112">
        <v>43830</v>
      </c>
      <c r="E392" s="132">
        <v>365</v>
      </c>
      <c r="F392" s="68">
        <v>18980</v>
      </c>
      <c r="G392" s="146">
        <v>17025</v>
      </c>
      <c r="H392" s="69">
        <v>0.89699683877766068</v>
      </c>
      <c r="I392" s="157">
        <v>52</v>
      </c>
      <c r="J392" s="89">
        <v>52</v>
      </c>
      <c r="K392" s="15" t="s">
        <v>320</v>
      </c>
    </row>
    <row r="393" spans="1:11" x14ac:dyDescent="0.2">
      <c r="A393" s="8" t="s">
        <v>154</v>
      </c>
      <c r="B393" s="62">
        <v>5</v>
      </c>
      <c r="C393" s="178">
        <v>21</v>
      </c>
      <c r="D393" s="112">
        <v>43830</v>
      </c>
      <c r="E393" s="132">
        <v>365</v>
      </c>
      <c r="F393" s="63">
        <v>76285</v>
      </c>
      <c r="G393" s="144">
        <v>67568</v>
      </c>
      <c r="H393" s="64">
        <v>0.88573113980467977</v>
      </c>
      <c r="I393" s="157">
        <v>209</v>
      </c>
      <c r="J393" s="89">
        <v>209</v>
      </c>
    </row>
    <row r="394" spans="1:11" x14ac:dyDescent="0.2">
      <c r="A394" s="8" t="s">
        <v>157</v>
      </c>
      <c r="B394" s="62">
        <v>5</v>
      </c>
      <c r="C394" s="178">
        <v>21</v>
      </c>
      <c r="D394" s="112">
        <v>43616</v>
      </c>
      <c r="E394" s="132">
        <v>365</v>
      </c>
      <c r="F394" s="68">
        <v>8030</v>
      </c>
      <c r="G394" s="146">
        <v>4455</v>
      </c>
      <c r="H394" s="69">
        <v>0.5547945205479452</v>
      </c>
      <c r="I394" s="157">
        <v>22</v>
      </c>
      <c r="J394" s="89">
        <v>0</v>
      </c>
      <c r="K394" s="15" t="s">
        <v>320</v>
      </c>
    </row>
    <row r="395" spans="1:11" x14ac:dyDescent="0.2">
      <c r="A395" s="8" t="s">
        <v>158</v>
      </c>
      <c r="B395" s="62">
        <v>5</v>
      </c>
      <c r="C395" s="178">
        <v>21</v>
      </c>
      <c r="D395" s="112">
        <v>43830</v>
      </c>
      <c r="E395" s="132">
        <v>365</v>
      </c>
      <c r="F395" s="68">
        <v>26645</v>
      </c>
      <c r="G395" s="146">
        <v>19055</v>
      </c>
      <c r="H395" s="69">
        <v>0.71514355413773689</v>
      </c>
      <c r="I395" s="157">
        <v>73</v>
      </c>
      <c r="J395" s="89">
        <v>9</v>
      </c>
      <c r="K395" s="15" t="s">
        <v>320</v>
      </c>
    </row>
    <row r="396" spans="1:11" x14ac:dyDescent="0.2">
      <c r="A396" s="8" t="s">
        <v>306</v>
      </c>
      <c r="B396" s="62">
        <v>5</v>
      </c>
      <c r="C396" s="178">
        <v>21</v>
      </c>
      <c r="D396" s="112">
        <v>43830</v>
      </c>
      <c r="E396" s="132">
        <v>365</v>
      </c>
      <c r="F396" s="63">
        <v>29200</v>
      </c>
      <c r="G396" s="144">
        <v>27080</v>
      </c>
      <c r="H396" s="64">
        <v>0.92739726027397262</v>
      </c>
      <c r="I396" s="157">
        <v>80</v>
      </c>
      <c r="J396" s="89">
        <v>80</v>
      </c>
    </row>
    <row r="397" spans="1:11" s="12" customFormat="1" ht="11.45" customHeight="1" x14ac:dyDescent="0.25">
      <c r="A397" s="54" t="s">
        <v>371</v>
      </c>
      <c r="B397" s="72">
        <f>COUNTA(B379:B396)</f>
        <v>18</v>
      </c>
      <c r="C397" s="179"/>
      <c r="D397" s="126"/>
      <c r="E397" s="133"/>
      <c r="F397" s="29">
        <f>SUM(F379:F396)</f>
        <v>632545</v>
      </c>
      <c r="G397" s="147">
        <f>SUM(G379:G396)</f>
        <v>539590</v>
      </c>
      <c r="H397" s="161">
        <f>G397/F397</f>
        <v>0.85304602834580934</v>
      </c>
      <c r="I397" s="133">
        <f>SUM(I379:I396)</f>
        <v>1733</v>
      </c>
      <c r="J397" s="90">
        <f>SUM(J379:J396)</f>
        <v>1527</v>
      </c>
      <c r="K397" s="16" t="s">
        <v>323</v>
      </c>
    </row>
    <row r="398" spans="1:11" s="14" customFormat="1" ht="11.45" customHeight="1" x14ac:dyDescent="0.25">
      <c r="A398" s="55" t="s">
        <v>316</v>
      </c>
      <c r="B398" s="176"/>
      <c r="C398" s="180"/>
      <c r="D398" s="127"/>
      <c r="E398" s="130"/>
      <c r="F398" s="13">
        <f>SUM(F379:F385,F387,F389:F391,F393,F396)</f>
        <v>535090</v>
      </c>
      <c r="G398" s="148">
        <f>SUM(G379:G385,G387,G389:G391,G393,G396)</f>
        <v>465363</v>
      </c>
      <c r="H398" s="39">
        <f>G398/F398</f>
        <v>0.86969108000523276</v>
      </c>
      <c r="I398" s="130"/>
      <c r="J398" s="93"/>
      <c r="K398" s="16" t="s">
        <v>323</v>
      </c>
    </row>
    <row r="399" spans="1:11" s="12" customFormat="1" ht="11.45" customHeight="1" x14ac:dyDescent="0.25">
      <c r="A399" s="56"/>
      <c r="B399" s="73"/>
      <c r="C399" s="181"/>
      <c r="D399" s="128" t="s">
        <v>317</v>
      </c>
      <c r="E399" s="134"/>
      <c r="F399" s="29"/>
      <c r="G399" s="147"/>
      <c r="H399" s="39">
        <f>MEDIAN(H379:H385,H387,H389:H391,H393,H396)</f>
        <v>0.90260542573193658</v>
      </c>
      <c r="I399" s="134"/>
      <c r="J399" s="94"/>
      <c r="K399" s="16" t="s">
        <v>326</v>
      </c>
    </row>
    <row r="400" spans="1:11" x14ac:dyDescent="0.2">
      <c r="F400" s="63"/>
      <c r="G400" s="144"/>
    </row>
    <row r="401" spans="1:11" x14ac:dyDescent="0.2">
      <c r="A401" s="8" t="s">
        <v>142</v>
      </c>
      <c r="B401" s="62">
        <v>5</v>
      </c>
      <c r="C401" s="178">
        <v>22</v>
      </c>
      <c r="D401" s="112">
        <v>43830</v>
      </c>
      <c r="E401" s="132">
        <v>365</v>
      </c>
      <c r="F401" s="63">
        <v>52925</v>
      </c>
      <c r="G401" s="144">
        <v>47228</v>
      </c>
      <c r="H401" s="64">
        <v>0.89235710911667454</v>
      </c>
      <c r="I401" s="157">
        <v>145</v>
      </c>
      <c r="J401" s="89">
        <v>145</v>
      </c>
    </row>
    <row r="402" spans="1:11" x14ac:dyDescent="0.2">
      <c r="A402" s="8" t="s">
        <v>301</v>
      </c>
      <c r="B402" s="62">
        <v>5</v>
      </c>
      <c r="C402" s="178">
        <v>22</v>
      </c>
      <c r="D402" s="112">
        <v>43830</v>
      </c>
      <c r="E402" s="132">
        <v>365</v>
      </c>
      <c r="F402" s="63">
        <v>49640</v>
      </c>
      <c r="G402" s="144">
        <v>35445</v>
      </c>
      <c r="H402" s="64">
        <v>0.71404109589041098</v>
      </c>
      <c r="I402" s="157">
        <v>136</v>
      </c>
      <c r="J402" s="89">
        <v>136</v>
      </c>
    </row>
    <row r="403" spans="1:11" s="12" customFormat="1" ht="11.45" customHeight="1" x14ac:dyDescent="0.25">
      <c r="A403" s="54" t="s">
        <v>382</v>
      </c>
      <c r="B403" s="72">
        <f>COUNTA(B401:B402)</f>
        <v>2</v>
      </c>
      <c r="C403" s="179"/>
      <c r="D403" s="126"/>
      <c r="E403" s="133"/>
      <c r="F403" s="29">
        <f>SUM(F401:F402)</f>
        <v>102565</v>
      </c>
      <c r="G403" s="158">
        <f>SUM(G401:G402)</f>
        <v>82673</v>
      </c>
      <c r="H403" s="163">
        <f>G403/F403</f>
        <v>0.80605469702140109</v>
      </c>
      <c r="I403" s="133">
        <f>SUM(I401:I402)</f>
        <v>281</v>
      </c>
      <c r="J403" s="90">
        <f>SUM(J401:J402)</f>
        <v>281</v>
      </c>
      <c r="K403" s="16" t="s">
        <v>315</v>
      </c>
    </row>
    <row r="404" spans="1:11" s="14" customFormat="1" ht="11.45" customHeight="1" x14ac:dyDescent="0.25">
      <c r="A404" s="55" t="s">
        <v>316</v>
      </c>
      <c r="B404" s="176"/>
      <c r="C404" s="180"/>
      <c r="D404" s="127"/>
      <c r="E404" s="130"/>
      <c r="F404" s="13">
        <f>SUM(F401:F402)</f>
        <v>102565</v>
      </c>
      <c r="G404" s="159">
        <f>SUM(G401:G402)</f>
        <v>82673</v>
      </c>
      <c r="H404" s="164">
        <f>G404/F404</f>
        <v>0.80605469702140109</v>
      </c>
      <c r="I404" s="130"/>
      <c r="J404" s="93"/>
      <c r="K404" s="16" t="s">
        <v>315</v>
      </c>
    </row>
    <row r="405" spans="1:11" s="12" customFormat="1" ht="11.45" customHeight="1" x14ac:dyDescent="0.25">
      <c r="A405" s="56"/>
      <c r="B405" s="73"/>
      <c r="C405" s="181"/>
      <c r="D405" s="128" t="s">
        <v>317</v>
      </c>
      <c r="E405" s="134"/>
      <c r="F405" s="29"/>
      <c r="G405" s="147"/>
      <c r="H405" s="39">
        <f>MEDIAN(H401,H402)</f>
        <v>0.80319910250354276</v>
      </c>
      <c r="I405" s="134"/>
      <c r="J405" s="94"/>
      <c r="K405" s="16" t="s">
        <v>326</v>
      </c>
    </row>
    <row r="406" spans="1:11" x14ac:dyDescent="0.2">
      <c r="F406" s="63"/>
      <c r="G406" s="144"/>
    </row>
    <row r="407" spans="1:11" s="26" customFormat="1" ht="12" customHeight="1" x14ac:dyDescent="0.25">
      <c r="A407" s="54" t="s">
        <v>383</v>
      </c>
      <c r="B407" s="72">
        <f>SUM(B317,B328,B375,B397,B403)</f>
        <v>69</v>
      </c>
      <c r="C407" s="179"/>
      <c r="D407" s="126"/>
      <c r="E407" s="133"/>
      <c r="F407" s="29">
        <f>SUM(F317,F328,F375,F397,F403)</f>
        <v>2591805</v>
      </c>
      <c r="G407" s="147">
        <f>SUM(G317,G328,G375,G397,G403)</f>
        <v>2190902</v>
      </c>
      <c r="H407" s="161">
        <f>G407/F407</f>
        <v>0.84531899583494896</v>
      </c>
      <c r="I407" s="133">
        <f>SUM(I317,I328,I375,I397,I403)</f>
        <v>7235</v>
      </c>
      <c r="J407" s="90">
        <f>SUM(J317,J328,J375,J397,J403)</f>
        <v>6693</v>
      </c>
      <c r="K407" s="16" t="s">
        <v>323</v>
      </c>
    </row>
    <row r="408" spans="1:11" s="26" customFormat="1" ht="12" customHeight="1" x14ac:dyDescent="0.25">
      <c r="A408" s="55" t="s">
        <v>316</v>
      </c>
      <c r="B408" s="73"/>
      <c r="C408" s="181"/>
      <c r="D408" s="129"/>
      <c r="E408" s="134"/>
      <c r="F408" s="13">
        <f>SUM(F318,F329,F376,F398,F404)</f>
        <v>2392880</v>
      </c>
      <c r="G408" s="147">
        <f>SUM(G318,G329,G376,G398,G404)</f>
        <v>2033375</v>
      </c>
      <c r="H408" s="39">
        <f>G408/F408</f>
        <v>0.84976053960081577</v>
      </c>
      <c r="I408" s="134"/>
      <c r="J408" s="94"/>
      <c r="K408" s="16" t="s">
        <v>323</v>
      </c>
    </row>
    <row r="409" spans="1:11" s="26" customFormat="1" ht="12" customHeight="1" x14ac:dyDescent="0.25">
      <c r="A409" s="19" t="s">
        <v>332</v>
      </c>
      <c r="B409" s="74">
        <f>COUNT(B314,B352,B356,B374,B388,B392,B394,B395,)</f>
        <v>9</v>
      </c>
      <c r="C409" s="184">
        <f>COUNT(C314,C374,C392,C395)</f>
        <v>4</v>
      </c>
      <c r="D409" s="118"/>
      <c r="E409" s="135"/>
      <c r="F409" s="20">
        <f>SUM(F314,F352,F356,F374,F388,F392,F394,F395,)</f>
        <v>156950</v>
      </c>
      <c r="G409" s="148">
        <f>SUM(G314,G352,G356,G374,G388,G392,G394,G395,)</f>
        <v>123563</v>
      </c>
      <c r="H409" s="162">
        <f>G409/F409</f>
        <v>0.78727620261229692</v>
      </c>
      <c r="I409" s="137">
        <f>SUM(I314,I352,I356,I374,I388,I392,I394,I395,)</f>
        <v>430</v>
      </c>
      <c r="J409" s="107">
        <f>SUM(J314,J352,J356,J374,J388,J392,J394,J395,)</f>
        <v>115</v>
      </c>
      <c r="K409" s="16" t="s">
        <v>315</v>
      </c>
    </row>
    <row r="410" spans="1:11" s="26" customFormat="1" ht="12" customHeight="1" x14ac:dyDescent="0.25">
      <c r="A410" s="38"/>
      <c r="B410" s="74"/>
      <c r="C410" s="184"/>
      <c r="D410" s="118"/>
      <c r="E410" s="135"/>
      <c r="F410" s="25"/>
      <c r="G410" s="152"/>
      <c r="H410" s="39"/>
      <c r="I410" s="167"/>
      <c r="J410" s="98"/>
      <c r="K410" s="50"/>
    </row>
    <row r="411" spans="1:11" s="26" customFormat="1" ht="12" customHeight="1" x14ac:dyDescent="0.2">
      <c r="B411" s="83"/>
      <c r="C411" s="188"/>
      <c r="D411" s="117"/>
      <c r="E411" s="141"/>
      <c r="F411" s="27"/>
      <c r="G411" s="156"/>
      <c r="H411" s="28"/>
      <c r="I411" s="169"/>
      <c r="J411" s="102"/>
      <c r="K411" s="52"/>
    </row>
    <row r="412" spans="1:11" s="26" customFormat="1" ht="12" customHeight="1" x14ac:dyDescent="0.25">
      <c r="A412" s="40" t="s">
        <v>384</v>
      </c>
      <c r="B412" s="84">
        <f>SUM(B75,B116,B232,B308,B407)</f>
        <v>290</v>
      </c>
      <c r="C412" s="189"/>
      <c r="D412" s="119"/>
      <c r="E412" s="142"/>
      <c r="F412" s="41">
        <f>SUM(F75,F116,F232,F308,F407)</f>
        <v>11505150</v>
      </c>
      <c r="G412" s="159">
        <f>SUM(G75,G116,G232,G308,G407)</f>
        <v>9874863</v>
      </c>
      <c r="H412" s="42">
        <f>G412/F412</f>
        <v>0.85829937028200409</v>
      </c>
      <c r="I412" s="173">
        <f>SUM(I75,I116,I232,I308,I407)</f>
        <v>32379</v>
      </c>
      <c r="J412" s="108">
        <f>SUM(J75,J116,J232,J308,J407)</f>
        <v>29732</v>
      </c>
      <c r="K412" s="16" t="s">
        <v>315</v>
      </c>
    </row>
    <row r="413" spans="1:11" s="26" customFormat="1" ht="12" customHeight="1" x14ac:dyDescent="0.25">
      <c r="A413" s="58" t="s">
        <v>316</v>
      </c>
      <c r="B413" s="85"/>
      <c r="C413" s="189"/>
      <c r="D413" s="119"/>
      <c r="E413" s="142"/>
      <c r="F413" s="43">
        <f>SUM(F76,F117,F233,F309,F408)</f>
        <v>10596350</v>
      </c>
      <c r="G413" s="159">
        <f>SUM(G76,G117,G233,G309,G408)</f>
        <v>9194092</v>
      </c>
      <c r="H413" s="44">
        <f t="shared" ref="H413:H414" si="7">G413/F413</f>
        <v>0.86766594157422128</v>
      </c>
      <c r="I413" s="174"/>
      <c r="J413" s="109"/>
      <c r="K413" s="16" t="s">
        <v>315</v>
      </c>
    </row>
    <row r="414" spans="1:11" s="26" customFormat="1" ht="12" customHeight="1" x14ac:dyDescent="0.25">
      <c r="A414" s="45" t="s">
        <v>332</v>
      </c>
      <c r="B414" s="86">
        <f>SUM(B77,B119,B234,B310,B409)</f>
        <v>41</v>
      </c>
      <c r="C414" s="190">
        <f>SUM(C77,C119,C234,C310,C409)</f>
        <v>23</v>
      </c>
      <c r="D414" s="120"/>
      <c r="E414" s="143"/>
      <c r="F414" s="53">
        <f>SUM(F77,F119,F234,F310,F409)</f>
        <v>850765</v>
      </c>
      <c r="G414" s="160">
        <f>SUM(G77,G119,G234,G310,G409)</f>
        <v>673353</v>
      </c>
      <c r="H414" s="46">
        <f t="shared" si="7"/>
        <v>0.7914676790888201</v>
      </c>
      <c r="I414" s="175">
        <f>SUM(I77,I119,I234,I310,I409)</f>
        <v>2597</v>
      </c>
      <c r="J414" s="96">
        <f>SUM(J77,J119,J234,J310,J409)</f>
        <v>1172</v>
      </c>
      <c r="K414" s="16" t="s">
        <v>315</v>
      </c>
    </row>
    <row r="415" spans="1:11" s="26" customFormat="1" ht="12" customHeight="1" x14ac:dyDescent="0.2">
      <c r="B415" s="83"/>
      <c r="C415" s="188"/>
      <c r="D415" s="117"/>
      <c r="E415" s="141"/>
      <c r="F415" s="27"/>
      <c r="G415" s="156"/>
      <c r="H415" s="28"/>
      <c r="I415" s="169"/>
      <c r="J415" s="102"/>
      <c r="K415" s="52"/>
    </row>
  </sheetData>
  <autoFilter ref="A1:H415"/>
  <sortState ref="A330:N372">
    <sortCondition ref="A330:A372"/>
  </sortState>
  <conditionalFormatting sqref="H412:H413">
    <cfRule type="cellIs" dxfId="1" priority="2" stopIfTrue="1" operator="greaterThan">
      <formula>1</formula>
    </cfRule>
  </conditionalFormatting>
  <conditionalFormatting sqref="H414">
    <cfRule type="cellIs" dxfId="0" priority="1" stopIfTrue="1" operator="greaterThan">
      <formula>1</formula>
    </cfRule>
  </conditionalFormatting>
  <printOptions horizontalCentered="1" gridLines="1"/>
  <pageMargins left="0.3" right="0.2" top="0.8" bottom="0.6" header="0.25" footer="0.25"/>
  <pageSetup orientation="landscape" r:id="rId1"/>
  <headerFooter scaleWithDoc="0">
    <oddHeader>&amp;C&amp;"-,Bold"Virginia Nursing Home Beds and Utilization
Facility Fiscal Years Ending in 2019 &amp;"-,Italic"&amp;8(as shown in FYE column)</oddHeader>
    <oddFooter>&amp;L&amp;8Basic data from Virginia Health Informtion as of 03/12/21.
Addit. data, corrections, calc., and format by VDH/DCOPN/sac.&amp;C&amp;9&amp;P of &amp;N&amp;R&amp;8Last edited by DCOPN 04/23/21.  Printed &amp;D</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13"/>
  <sheetViews>
    <sheetView showGridLines="0" workbookViewId="0">
      <selection activeCell="C8" sqref="C8"/>
    </sheetView>
  </sheetViews>
  <sheetFormatPr defaultRowHeight="15" x14ac:dyDescent="0.25"/>
  <cols>
    <col min="1" max="1" width="25.7109375" style="3" customWidth="1"/>
    <col min="2" max="2" width="100.7109375" style="4" customWidth="1"/>
    <col min="3" max="16384" width="9.140625" style="3"/>
  </cols>
  <sheetData>
    <row r="1" spans="1:2" x14ac:dyDescent="0.25">
      <c r="A1" s="191" t="s">
        <v>164</v>
      </c>
      <c r="B1" s="191"/>
    </row>
    <row r="2" spans="1:2" ht="120" customHeight="1" x14ac:dyDescent="0.25">
      <c r="A2" s="192" t="s">
        <v>173</v>
      </c>
      <c r="B2" s="192"/>
    </row>
    <row r="3" spans="1:2" x14ac:dyDescent="0.25">
      <c r="A3" s="193" t="s">
        <v>166</v>
      </c>
      <c r="B3" s="193"/>
    </row>
    <row r="4" spans="1:2" ht="30" customHeight="1" x14ac:dyDescent="0.25">
      <c r="A4" s="194" t="s">
        <v>165</v>
      </c>
      <c r="B4" s="194"/>
    </row>
    <row r="5" spans="1:2" ht="45" customHeight="1" x14ac:dyDescent="0.25">
      <c r="A5" s="194" t="s">
        <v>174</v>
      </c>
      <c r="B5" s="194"/>
    </row>
    <row r="7" spans="1:2" x14ac:dyDescent="0.25">
      <c r="A7" s="191" t="s">
        <v>167</v>
      </c>
      <c r="B7" s="191"/>
    </row>
    <row r="8" spans="1:2" x14ac:dyDescent="0.25">
      <c r="A8" s="1" t="s">
        <v>168</v>
      </c>
      <c r="B8" s="2" t="s">
        <v>169</v>
      </c>
    </row>
    <row r="9" spans="1:2" ht="30" x14ac:dyDescent="0.25">
      <c r="A9" s="5" t="s">
        <v>160</v>
      </c>
      <c r="B9" s="6" t="s">
        <v>175</v>
      </c>
    </row>
    <row r="10" spans="1:2" x14ac:dyDescent="0.25">
      <c r="A10" s="5" t="s">
        <v>0</v>
      </c>
      <c r="B10" s="6" t="s">
        <v>170</v>
      </c>
    </row>
    <row r="11" spans="1:2" ht="30" x14ac:dyDescent="0.25">
      <c r="A11" s="5" t="s">
        <v>1</v>
      </c>
      <c r="B11" s="6" t="s">
        <v>171</v>
      </c>
    </row>
    <row r="12" spans="1:2" x14ac:dyDescent="0.25">
      <c r="A12" s="5" t="s">
        <v>161</v>
      </c>
      <c r="B12" s="6" t="s">
        <v>172</v>
      </c>
    </row>
    <row r="13" spans="1:2" ht="30" x14ac:dyDescent="0.25">
      <c r="A13" s="7" t="s">
        <v>162</v>
      </c>
      <c r="B13" s="6" t="s">
        <v>176</v>
      </c>
    </row>
  </sheetData>
  <mergeCells count="6">
    <mergeCell ref="A7:B7"/>
    <mergeCell ref="A1:B1"/>
    <mergeCell ref="A2:B2"/>
    <mergeCell ref="A3:B3"/>
    <mergeCell ref="A4:B4"/>
    <mergeCell ref="A5:B5"/>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Nursing Utilization</vt:lpstr>
      <vt:lpstr>Notes</vt:lpstr>
      <vt:lpstr>'Nursing Utilization'!Print_Titles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dc:creator>
  <cp:lastModifiedBy>VITA Program</cp:lastModifiedBy>
  <cp:lastPrinted>2021-05-08T05:16:44Z</cp:lastPrinted>
  <dcterms:created xsi:type="dcterms:W3CDTF">2021-03-11T19:31:54Z</dcterms:created>
  <dcterms:modified xsi:type="dcterms:W3CDTF">2021-06-09T16:59:26Z</dcterms:modified>
</cp:coreProperties>
</file>